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8265"/>
  </bookViews>
  <sheets>
    <sheet name="Voorblad" sheetId="6" r:id="rId1"/>
    <sheet name="Toolbox" sheetId="1" r:id="rId2"/>
    <sheet name="Flashovermatrix" sheetId="2" state="hidden" r:id="rId3"/>
    <sheet name="Uitgangspunten" sheetId="3" state="hidden" r:id="rId4"/>
    <sheet name="Norm" sheetId="4" state="hidden" r:id="rId5"/>
    <sheet name="Werkelijk" sheetId="5" state="hidden" r:id="rId6"/>
  </sheets>
  <externalReferences>
    <externalReference r:id="rId7"/>
  </externalReferences>
  <definedNames>
    <definedName name="_xlnm.Print_Area" localSheetId="2">Flashovermatrix!$A$1:$N$28</definedName>
  </definedNames>
  <calcPr calcId="145621"/>
</workbook>
</file>

<file path=xl/calcChain.xml><?xml version="1.0" encoding="utf-8"?>
<calcChain xmlns="http://schemas.openxmlformats.org/spreadsheetml/2006/main">
  <c r="S27" i="1" l="1"/>
  <c r="R27" i="1"/>
  <c r="Q27" i="1"/>
  <c r="P27" i="1"/>
  <c r="F4" i="1"/>
  <c r="F3" i="1"/>
  <c r="F5" i="1" l="1"/>
  <c r="F6" i="1" s="1"/>
  <c r="D10" i="4"/>
  <c r="H11" i="5" l="1"/>
  <c r="G12" i="5" l="1"/>
  <c r="D11" i="4"/>
  <c r="H11" i="4" s="1"/>
  <c r="O16" i="1" s="1"/>
  <c r="D11" i="5" l="1"/>
  <c r="F11" i="5" s="1"/>
  <c r="G11" i="5" s="1"/>
  <c r="F12" i="5" l="1"/>
  <c r="D10" i="5"/>
  <c r="H10" i="4"/>
  <c r="D14" i="5" l="1"/>
  <c r="H10" i="5"/>
  <c r="I14" i="5" l="1"/>
  <c r="I12" i="5"/>
  <c r="I11" i="5"/>
  <c r="K11" i="5" s="1"/>
  <c r="L11" i="5" s="1"/>
  <c r="M11" i="5" s="1"/>
  <c r="F10" i="5"/>
  <c r="G10" i="5" s="1"/>
  <c r="I10" i="5"/>
  <c r="K10" i="5" s="1"/>
  <c r="K12" i="5" l="1"/>
  <c r="L12" i="5" s="1"/>
  <c r="M12" i="5" s="1"/>
  <c r="L10" i="5"/>
  <c r="M10" i="5" s="1"/>
  <c r="M14" i="5" l="1"/>
  <c r="M15" i="5" s="1"/>
  <c r="D17" i="5" s="1"/>
  <c r="F9" i="1" s="1"/>
  <c r="F12" i="1" l="1"/>
  <c r="O21" i="1" s="1"/>
  <c r="F13" i="1"/>
  <c r="B27" i="5"/>
  <c r="D27" i="5" s="1"/>
  <c r="B34" i="5"/>
  <c r="D34" i="5" s="1"/>
  <c r="B25" i="5"/>
  <c r="D25" i="5" s="1"/>
  <c r="B31" i="5"/>
  <c r="D31" i="5" s="1"/>
  <c r="B29" i="5"/>
  <c r="D29" i="5" s="1"/>
  <c r="B24" i="5"/>
  <c r="D24" i="5" s="1"/>
  <c r="B32" i="5"/>
  <c r="D32" i="5" s="1"/>
  <c r="B26" i="5"/>
  <c r="D26" i="5" s="1"/>
  <c r="B28" i="5"/>
  <c r="D28" i="5" s="1"/>
  <c r="B30" i="5"/>
  <c r="D30" i="5" s="1"/>
  <c r="B33" i="5"/>
  <c r="D33" i="5" s="1"/>
  <c r="F12" i="4"/>
  <c r="G12" i="4" s="1"/>
  <c r="F11" i="4"/>
  <c r="G11" i="4" s="1"/>
  <c r="O27" i="1" l="1"/>
  <c r="F10" i="4"/>
  <c r="G10" i="4" s="1"/>
  <c r="O29" i="1" l="1"/>
  <c r="O28" i="1"/>
  <c r="C22" i="2"/>
  <c r="N28" i="2"/>
  <c r="K21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K22" i="2"/>
  <c r="J22" i="2"/>
  <c r="I22" i="2"/>
  <c r="H22" i="2"/>
  <c r="G22" i="2"/>
  <c r="F22" i="2"/>
  <c r="E22" i="2"/>
  <c r="D22" i="2"/>
  <c r="N21" i="2"/>
  <c r="M21" i="2"/>
  <c r="L21" i="2"/>
  <c r="J21" i="2"/>
  <c r="I21" i="2"/>
  <c r="H21" i="2"/>
  <c r="G21" i="2"/>
  <c r="F21" i="2"/>
  <c r="E21" i="2"/>
  <c r="D21" i="2"/>
  <c r="C21" i="2"/>
  <c r="D14" i="4" l="1"/>
  <c r="I14" i="4" l="1"/>
  <c r="I11" i="4"/>
  <c r="I10" i="4"/>
  <c r="K10" i="4" s="1"/>
  <c r="L10" i="4" s="1"/>
  <c r="M10" i="4" s="1"/>
  <c r="I12" i="4"/>
  <c r="K12" i="4" s="1"/>
  <c r="L12" i="4" s="1"/>
  <c r="M12" i="4" s="1"/>
  <c r="K11" i="4" l="1"/>
  <c r="L11" i="4" s="1"/>
  <c r="M11" i="4" l="1"/>
  <c r="M14" i="4" s="1"/>
  <c r="M15" i="4" s="1"/>
  <c r="B32" i="4" l="1"/>
  <c r="D32" i="4" s="1"/>
  <c r="B31" i="4"/>
  <c r="D31" i="4" s="1"/>
  <c r="B26" i="4"/>
  <c r="D26" i="4" s="1"/>
  <c r="B27" i="4"/>
  <c r="D27" i="4" s="1"/>
  <c r="B29" i="4"/>
  <c r="D29" i="4" s="1"/>
  <c r="B28" i="4"/>
  <c r="D28" i="4" s="1"/>
  <c r="B34" i="4"/>
  <c r="D34" i="4" s="1"/>
  <c r="B24" i="4"/>
  <c r="D24" i="4" s="1"/>
  <c r="D17" i="4"/>
  <c r="B30" i="4"/>
  <c r="D30" i="4" s="1"/>
  <c r="B33" i="4"/>
  <c r="D33" i="4" s="1"/>
  <c r="B25" i="4"/>
  <c r="D25" i="4" s="1"/>
  <c r="F8" i="1"/>
  <c r="F11" i="1" s="1"/>
  <c r="O20" i="1" s="1"/>
</calcChain>
</file>

<file path=xl/comments1.xml><?xml version="1.0" encoding="utf-8"?>
<comments xmlns="http://schemas.openxmlformats.org/spreadsheetml/2006/main">
  <authors>
    <author>Ruud van Herpen</author>
    <author>Maaike van Amersfoort</author>
  </authors>
  <commentList>
    <comment ref="O17" authorId="0">
      <text>
        <r>
          <rPr>
            <sz val="9"/>
            <color indexed="81"/>
            <rFont val="Tahoma"/>
            <family val="2"/>
          </rPr>
          <t>In werkelijkheid vastgesteld opkomsttijd invullen. Hiervan wordt een betrouwbaarheid van 80% verondersteld (80% percentielwaarde)</t>
        </r>
      </text>
    </comment>
    <comment ref="O20" authorId="1">
      <text>
        <r>
          <rPr>
            <sz val="9"/>
            <color indexed="81"/>
            <rFont val="Tahoma"/>
            <family val="2"/>
          </rPr>
          <t>Wanneer het verschil tussen flashover en operationele tijd meer wordt dan 20 minuten gaat de binneninzet over naar buiteninzet (excl. objectspecifieke  preventieve voorzieningen)</t>
        </r>
      </text>
    </comment>
    <comment ref="O21" authorId="1">
      <text>
        <r>
          <rPr>
            <sz val="9"/>
            <color indexed="81"/>
            <rFont val="Tahoma"/>
            <family val="2"/>
          </rPr>
          <t>Wanneer het verschil tussen flashover en operationele tijd meer wordt dan 20 minuten gaat de binneninzet over naar buiteninzet (excl. objectspecifieke  preventieve voorzieningen)</t>
        </r>
      </text>
    </comment>
    <comment ref="O27" authorId="0">
      <text>
        <r>
          <rPr>
            <sz val="9"/>
            <color indexed="81"/>
            <rFont val="Tahoma"/>
            <family val="2"/>
          </rPr>
          <t>Inzetstrategie, rekening houdend met werkelijke opkomsttijd en extra preventieve voorzieningen</t>
        </r>
      </text>
    </comment>
  </commentList>
</comments>
</file>

<file path=xl/sharedStrings.xml><?xml version="1.0" encoding="utf-8"?>
<sst xmlns="http://schemas.openxmlformats.org/spreadsheetml/2006/main" count="229" uniqueCount="161">
  <si>
    <t>Flashover matrix [s]</t>
  </si>
  <si>
    <t>Acomp</t>
  </si>
  <si>
    <t>RHR</t>
  </si>
  <si>
    <t>Tijdconstante [s]</t>
  </si>
  <si>
    <t>Hcomp [m]</t>
  </si>
  <si>
    <t>[m2]</t>
  </si>
  <si>
    <t>[kW/m2]</t>
  </si>
  <si>
    <t>Flashover matrix [h:m:s]</t>
  </si>
  <si>
    <r>
      <t>Oppervlakte compartiment (A</t>
    </r>
    <r>
      <rPr>
        <vertAlign val="subscript"/>
        <sz val="11"/>
        <color theme="1"/>
        <rFont val="Calibri"/>
        <family val="2"/>
        <scheme val="minor"/>
      </rPr>
      <t>comp</t>
    </r>
    <r>
      <rPr>
        <sz val="11"/>
        <color theme="1"/>
        <rFont val="Calibri"/>
        <family val="2"/>
        <scheme val="minor"/>
      </rPr>
      <t>), [m2]</t>
    </r>
  </si>
  <si>
    <r>
      <t>Hoogte compartiment (H</t>
    </r>
    <r>
      <rPr>
        <vertAlign val="subscript"/>
        <sz val="11"/>
        <color theme="1"/>
        <rFont val="Calibri"/>
        <family val="2"/>
        <scheme val="minor"/>
      </rPr>
      <t>comp</t>
    </r>
    <r>
      <rPr>
        <sz val="11"/>
        <color theme="1"/>
        <rFont val="Calibri"/>
        <family val="2"/>
        <scheme val="minor"/>
      </rPr>
      <t>), [m]</t>
    </r>
  </si>
  <si>
    <r>
      <t>Referentie vermogensdichtheid (RHR), [kW/m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</si>
  <si>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Tijdsconstante (t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), [s]</t>
    </r>
  </si>
  <si>
    <t>Gebouwsoort</t>
  </si>
  <si>
    <t>Winkelfunctie met gesloten constructie</t>
  </si>
  <si>
    <t>Personen zelfredzaam</t>
  </si>
  <si>
    <t xml:space="preserve">Onderwijsfunctie </t>
  </si>
  <si>
    <t xml:space="preserve">Winkelfunctie </t>
  </si>
  <si>
    <t>Kantoorfunctie</t>
  </si>
  <si>
    <t>Overige gebruiksfunctie</t>
  </si>
  <si>
    <t>Overige bijeenkomstfunctie</t>
  </si>
  <si>
    <t xml:space="preserve">Sportfunctie </t>
  </si>
  <si>
    <t xml:space="preserve">Industriefunctie </t>
  </si>
  <si>
    <t>Personen zelfredzaam en slapen</t>
  </si>
  <si>
    <t xml:space="preserve">Logiesfunctie </t>
  </si>
  <si>
    <t>Personen niet zelfredzaam en slapen</t>
  </si>
  <si>
    <t xml:space="preserve">Celfunctie </t>
  </si>
  <si>
    <t xml:space="preserve">Gezondheidszorgfunctie </t>
  </si>
  <si>
    <t>Bijeenkomstfunctie kinderopvang</t>
  </si>
  <si>
    <t>Bewoners zelfredzaam en slapen</t>
  </si>
  <si>
    <t>Woonfunctie boven winkel</t>
  </si>
  <si>
    <t>Woonfunctie portiek</t>
  </si>
  <si>
    <t>Woonfunctie wonen met zorg</t>
  </si>
  <si>
    <t>Overige woonfunctie</t>
  </si>
  <si>
    <t>Norm opkomsttijd</t>
  </si>
  <si>
    <t>maximale ontdekkings- en meldingstijd</t>
  </si>
  <si>
    <t>Norm operationele tijd</t>
  </si>
  <si>
    <t>min</t>
  </si>
  <si>
    <t>Kenmerk</t>
  </si>
  <si>
    <t>Gebouwkenmerken</t>
  </si>
  <si>
    <t>Brandstofkenmerken</t>
  </si>
  <si>
    <r>
      <t>Acomp [m</t>
    </r>
    <r>
      <rPr>
        <vertAlign val="superscript"/>
        <sz val="9"/>
        <color rgb="FFFFFFFF"/>
        <rFont val="Verdana"/>
        <family val="2"/>
      </rPr>
      <t>2</t>
    </r>
    <r>
      <rPr>
        <sz val="9"/>
        <color rgb="FFFFFFFF"/>
        <rFont val="Verdana"/>
        <family val="2"/>
      </rPr>
      <t>]</t>
    </r>
  </si>
  <si>
    <r>
      <t>RHR [kW/m</t>
    </r>
    <r>
      <rPr>
        <vertAlign val="superscript"/>
        <sz val="9"/>
        <color rgb="FFFFFFFF"/>
        <rFont val="Verdana"/>
        <family val="2"/>
      </rPr>
      <t>2</t>
    </r>
    <r>
      <rPr>
        <sz val="9"/>
        <color rgb="FFFFFFFF"/>
        <rFont val="Verdana"/>
        <family val="2"/>
      </rPr>
      <t>]</t>
    </r>
  </si>
  <si>
    <t>tc [s]</t>
  </si>
  <si>
    <t xml:space="preserve">Woonfunctie </t>
  </si>
  <si>
    <t>Bijeenkomstfunctie</t>
  </si>
  <si>
    <t>250 – 500</t>
  </si>
  <si>
    <t>150 - 600</t>
  </si>
  <si>
    <t>Celfunctie</t>
  </si>
  <si>
    <t>Gezondheidszorgfunctie</t>
  </si>
  <si>
    <t>Industriefunctie</t>
  </si>
  <si>
    <t xml:space="preserve">500 - &gt;2000 </t>
  </si>
  <si>
    <t>100 - &gt;500</t>
  </si>
  <si>
    <t>75 – 600</t>
  </si>
  <si>
    <t>Onderwijsfunctie</t>
  </si>
  <si>
    <t>Winkelfunctie</t>
  </si>
  <si>
    <t>Nr.</t>
  </si>
  <si>
    <t>Defensieve buiteninzet</t>
  </si>
  <si>
    <t>Offensieve buiteninzet</t>
  </si>
  <si>
    <t>Defensieve binneninzet</t>
  </si>
  <si>
    <t>PROBABILISTISCHE BEREKENING</t>
  </si>
  <si>
    <t>OPERATIONELE TIJD BRANDWEERINZET</t>
  </si>
  <si>
    <t>Kenmerk:</t>
  </si>
  <si>
    <t>gemiddeld</t>
  </si>
  <si>
    <t>gevoeligheidsanalyse</t>
  </si>
  <si>
    <t>variantie en standaard deviatie</t>
  </si>
  <si>
    <t>randcondities</t>
  </si>
  <si>
    <t>tijdsduur</t>
  </si>
  <si>
    <t>variatie</t>
  </si>
  <si>
    <t>st. deviatie</t>
  </si>
  <si>
    <t>normatief</t>
  </si>
  <si>
    <t>Ttotaal</t>
  </si>
  <si>
    <t>dt/dx</t>
  </si>
  <si>
    <t>s·dt/dx</t>
  </si>
  <si>
    <r>
      <t>(s·dt/dx)</t>
    </r>
    <r>
      <rPr>
        <b/>
        <vertAlign val="superscript"/>
        <sz val="9"/>
        <color theme="1"/>
        <rFont val="Verdana"/>
        <family val="2"/>
      </rPr>
      <t>2</t>
    </r>
  </si>
  <si>
    <t>x</t>
  </si>
  <si>
    <t>V</t>
  </si>
  <si>
    <t>s</t>
  </si>
  <si>
    <t>x + dx</t>
  </si>
  <si>
    <t>t [min]</t>
  </si>
  <si>
    <t>Tmeld</t>
  </si>
  <si>
    <t>ontdekkings/meldtijd</t>
  </si>
  <si>
    <t>Topkomst</t>
  </si>
  <si>
    <t>Tinzet</t>
  </si>
  <si>
    <t>inzettijd</t>
  </si>
  <si>
    <t xml:space="preserve">variantie(t) = </t>
  </si>
  <si>
    <t xml:space="preserve">s(t) = </t>
  </si>
  <si>
    <t>Resultaat</t>
  </si>
  <si>
    <t>operationele tijd (80% fractiel)</t>
  </si>
  <si>
    <t>min.</t>
  </si>
  <si>
    <t>betrouwbaarheid en kansverdeling (Ttotaal)</t>
  </si>
  <si>
    <t>beta(Ttotaal)</t>
  </si>
  <si>
    <t>p(Ttotaal)</t>
  </si>
  <si>
    <t>norm. operationele tijd</t>
  </si>
  <si>
    <t>werkl. operationele tijd (80% fractiel)</t>
  </si>
  <si>
    <t>``</t>
  </si>
  <si>
    <t>werkelijk opkomsttijd</t>
  </si>
  <si>
    <t>norm opkomsttijd</t>
  </si>
  <si>
    <t>Ultra fast (75 s)</t>
  </si>
  <si>
    <t>Fast (150 s)</t>
  </si>
  <si>
    <t>Medium (300 s)</t>
  </si>
  <si>
    <t>Inzetstrategieen:</t>
  </si>
  <si>
    <t>Tijd tot Flashover:</t>
  </si>
  <si>
    <t>Gebouwsoort:</t>
  </si>
  <si>
    <t>Opkomsttijden:</t>
  </si>
  <si>
    <t>Normatief</t>
  </si>
  <si>
    <t>Werkelijk (gemeten, berekend)</t>
  </si>
  <si>
    <t>Offensieve binneninzet</t>
  </si>
  <si>
    <t>o.b.v. operationele tijd (werkelijk)</t>
  </si>
  <si>
    <t>o.b.v. operationele tijd (normatief)</t>
  </si>
  <si>
    <t>Gebouw- en brandstofkenmerken:</t>
  </si>
  <si>
    <t>3 - &gt;15</t>
  </si>
  <si>
    <t>werk. operationele tijd</t>
  </si>
  <si>
    <t>TOOLBOX BRANDWEERINZET</t>
  </si>
  <si>
    <t>OBJECTSPECIFIEKE CONSEQUENTIES VAN BRANDSCENARIO'S EN BRANDWEERINZET</t>
  </si>
  <si>
    <t>Nieman Raadgevende Ingenieurs BV  (www.nieman.nl)</t>
  </si>
  <si>
    <t>in opdracht van:</t>
  </si>
  <si>
    <t>Veiligheidsregio Noord-Holland Noord</t>
  </si>
  <si>
    <t>1800 AK Alkmaar</t>
  </si>
  <si>
    <t>Postbus 416</t>
  </si>
  <si>
    <t>Behoort bij rapport Wn140848aaA0.rhe</t>
  </si>
  <si>
    <t>d.d. 20 april 2015</t>
  </si>
  <si>
    <t>TOOLBOX BRANDWEERINZET - OBJECTSPECIFIEK</t>
  </si>
  <si>
    <t>TOELICHTING</t>
  </si>
  <si>
    <t>Deze toolbox hoort bij rapport Wn140848aaA0.rhe (20 april 2015) van Nieman R.I..</t>
  </si>
  <si>
    <t>De toolbox bepaalt op basis van 96 natuurlijke brandscenario's (zie werkblad 'flashovermatrix')</t>
  </si>
  <si>
    <t>de flashovertijd, de normatieve operationele tijd (zie werkblad 'Norm') en de werkelijk</t>
  </si>
  <si>
    <t>vastgestelde operationele tijd (zie werkblad 'Werkelijk') voor brandweerinzet.</t>
  </si>
  <si>
    <t>De operationele tijd bestaat uit de sommatie van meldtijd, opkomsttijd en inzettijd.</t>
  </si>
  <si>
    <t>Voor zowel de normatieve waarden als de werkelijk bepaalde waarden (opkomsttijd)</t>
  </si>
  <si>
    <t>wordt een betrouwbaarheid van 80% gehanteerd. Dat houdt in dat er een overschrijdingskans</t>
  </si>
  <si>
    <t xml:space="preserve">per deeltijd wordt geaccepteerd van 20%. </t>
  </si>
  <si>
    <t>compartimentshoogte [m], referentie vermogensdichtheid [kW/m2] en tijdconstante [s].</t>
  </si>
  <si>
    <t>De flashovertijden zijn bepaald voor 96 combinaties van compartimentsoppervlakte [m2] en</t>
  </si>
  <si>
    <t>© 2015, Nieman R.I.</t>
  </si>
  <si>
    <t>automatische blusinstallatie</t>
  </si>
  <si>
    <t>rookbeheersingsinstallatie</t>
  </si>
  <si>
    <t>bouwkundige scheidingen EIW &gt; 30 min. SBK</t>
  </si>
  <si>
    <t>Consequentie o.b.v. inzetstrategie:</t>
  </si>
  <si>
    <t>aanvinken indien van toepassing</t>
  </si>
  <si>
    <t>Operationele tijd o.b.v. normatieve opkomsttijd</t>
  </si>
  <si>
    <t>Operationele tijd o.b.v. werkelijke opkomsttijd</t>
  </si>
  <si>
    <t>Wanneer de inzetstrategie volgens het Kwadrantenmodel bij de werkelijke operationele tijd</t>
  </si>
  <si>
    <t>niet ongunstiger is dan bij de normatieve operationele tijd, is de werkelijke operationele tijd,</t>
  </si>
  <si>
    <t>preventieve voorzieningen (zoals automatische blussing, rookbeheersing of hogere bouwkundige</t>
  </si>
  <si>
    <t>Voor grote compartimenten en compartimenten met een specifieke gebruiksfunctie is een</t>
  </si>
  <si>
    <t>projectspecifieke beschouwing op basis van een natuurlijk brandconcept noodzakelijk.</t>
  </si>
  <si>
    <t>Nieman R.I. kan niet aansprakelijk gesteld worden voor onoordeelkundig gebruik van de toolbox.</t>
  </si>
  <si>
    <t>brandwerendheid) worden gewaardeerd. Automatische blussing houdt in dat de flashover tijd</t>
  </si>
  <si>
    <t>tenminste 1 uur bedraagt. Bij rookbeheersing (zoals RWA) wordt verondersteld dat de flashover</t>
  </si>
  <si>
    <t>tijd met een factor 1,5 wordt verlengd. Een hogere bouwkundige brandwerendheid (tenminste 30</t>
  </si>
  <si>
    <t xml:space="preserve">minuten i.p.v. de wettelijke ondergrens van 20 minuten) betekent dat gedurende langere tijd </t>
  </si>
  <si>
    <t>een defensieve binneninzet tot de mogelijkheden behoort.</t>
  </si>
  <si>
    <t>De werkbladen zijn niet beveiligd, de gebruiker kan desgewenst zelf aanpassingen doen. Voor normaal gebruik is alleen</t>
  </si>
  <si>
    <t>het werkblad 'Toolbox' relevant. De overige werkbladen zijn derhalve verborgen, maar kunnen zichtbaar gemaakt worden.</t>
  </si>
  <si>
    <t>Generieke inzetstrategie:</t>
  </si>
  <si>
    <t>Objectspecifieke preventieve voorzieningen:</t>
  </si>
  <si>
    <t>en daarmee ook de werkelijke opkomsttijd, acceptabel. Eventueel kunnen daarin objectspecifieke</t>
  </si>
  <si>
    <t>Conclusie objectspecifieke inzetstrategie:</t>
  </si>
  <si>
    <t>Beschikbare tijd norm, generiek</t>
  </si>
  <si>
    <t>Beschikbare tijd werkelijk, objectspecifiek</t>
  </si>
  <si>
    <t>Tijd tot Flashover, incl. objectspecifieke voorzieningen: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</si>
</sst>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h]:mm:ss;@"/>
    <numFmt numFmtId="165" formatCode="0.000000000000000000"/>
    <numFmt numFmtId="166" formatCode="0.0"/>
    <numFmt numFmtId="167" formatCode="0.000"/>
    <numFmt numFmtId="168" formatCode="[$-F400]h:mm:ss\ AM/PM"/>
  </numFmts>
  <fonts count="17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rgb="FFFFFFFF"/>
      <name val="Verdana"/>
      <family val="2"/>
    </font>
    <font>
      <vertAlign val="superscript"/>
      <sz val="9"/>
      <color rgb="FFFFFFFF"/>
      <name val="Verdana"/>
      <family val="2"/>
    </font>
    <font>
      <sz val="9"/>
      <color indexed="81"/>
      <name val="Tahom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b/>
      <vertAlign val="superscript"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FC2"/>
        <bgColor indexed="64"/>
      </patternFill>
    </fill>
    <fill>
      <patternFill patternType="solid">
        <fgColor rgb="FF008FC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/>
    <xf numFmtId="1" fontId="0" fillId="0" borderId="0" xfId="0" applyNumberFormat="1"/>
    <xf numFmtId="16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3" xfId="0" applyBorder="1"/>
    <xf numFmtId="1" fontId="0" fillId="0" borderId="3" xfId="0" applyNumberFormat="1" applyBorder="1"/>
    <xf numFmtId="164" fontId="0" fillId="0" borderId="3" xfId="0" applyNumberFormat="1" applyBorder="1"/>
    <xf numFmtId="165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166" fontId="0" fillId="0" borderId="3" xfId="0" applyNumberFormat="1" applyBorder="1"/>
    <xf numFmtId="0" fontId="0" fillId="0" borderId="20" xfId="0" applyBorder="1"/>
    <xf numFmtId="167" fontId="0" fillId="0" borderId="3" xfId="0" applyNumberFormat="1" applyBorder="1"/>
    <xf numFmtId="167" fontId="0" fillId="0" borderId="20" xfId="0" applyNumberFormat="1" applyBorder="1"/>
    <xf numFmtId="0" fontId="0" fillId="0" borderId="16" xfId="0" applyBorder="1"/>
    <xf numFmtId="0" fontId="0" fillId="0" borderId="17" xfId="0" applyBorder="1"/>
    <xf numFmtId="166" fontId="0" fillId="0" borderId="18" xfId="0" applyNumberFormat="1" applyBorder="1"/>
    <xf numFmtId="0" fontId="0" fillId="0" borderId="18" xfId="0" applyBorder="1"/>
    <xf numFmtId="0" fontId="0" fillId="0" borderId="19" xfId="0" applyBorder="1"/>
    <xf numFmtId="167" fontId="0" fillId="0" borderId="18" xfId="0" applyNumberFormat="1" applyBorder="1"/>
    <xf numFmtId="167" fontId="0" fillId="0" borderId="19" xfId="0" applyNumberFormat="1" applyBorder="1"/>
    <xf numFmtId="0" fontId="9" fillId="0" borderId="4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167" fontId="0" fillId="0" borderId="1" xfId="0" applyNumberFormat="1" applyBorder="1" applyAlignment="1">
      <alignment horizontal="right"/>
    </xf>
    <xf numFmtId="167" fontId="0" fillId="0" borderId="6" xfId="0" applyNumberFormat="1" applyBorder="1"/>
    <xf numFmtId="0" fontId="0" fillId="0" borderId="2" xfId="0" applyBorder="1"/>
    <xf numFmtId="0" fontId="0" fillId="0" borderId="21" xfId="0" applyBorder="1"/>
    <xf numFmtId="167" fontId="0" fillId="0" borderId="2" xfId="0" applyNumberFormat="1" applyBorder="1" applyAlignment="1">
      <alignment horizontal="right"/>
    </xf>
    <xf numFmtId="167" fontId="0" fillId="0" borderId="21" xfId="0" applyNumberFormat="1" applyBorder="1"/>
    <xf numFmtId="0" fontId="0" fillId="0" borderId="0" xfId="0" applyAlignment="1">
      <alignment horizontal="right"/>
    </xf>
    <xf numFmtId="166" fontId="9" fillId="0" borderId="22" xfId="0" applyNumberFormat="1" applyFont="1" applyBorder="1"/>
    <xf numFmtId="0" fontId="9" fillId="0" borderId="0" xfId="0" applyFont="1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0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11" fontId="0" fillId="0" borderId="25" xfId="0" applyNumberFormat="1" applyFont="1" applyBorder="1" applyAlignment="1">
      <alignment horizontal="right"/>
    </xf>
    <xf numFmtId="0" fontId="0" fillId="0" borderId="0" xfId="0" applyFont="1"/>
    <xf numFmtId="167" fontId="0" fillId="0" borderId="12" xfId="0" applyNumberFormat="1" applyBorder="1"/>
    <xf numFmtId="11" fontId="0" fillId="0" borderId="25" xfId="0" applyNumberFormat="1" applyBorder="1"/>
    <xf numFmtId="0" fontId="0" fillId="0" borderId="0" xfId="0" applyFill="1" applyBorder="1"/>
    <xf numFmtId="167" fontId="0" fillId="0" borderId="12" xfId="0" applyNumberFormat="1" applyFill="1" applyBorder="1"/>
    <xf numFmtId="0" fontId="0" fillId="0" borderId="3" xfId="0" applyFill="1" applyBorder="1"/>
    <xf numFmtId="11" fontId="0" fillId="0" borderId="25" xfId="0" applyNumberFormat="1" applyFill="1" applyBorder="1"/>
    <xf numFmtId="11" fontId="0" fillId="0" borderId="21" xfId="0" applyNumberFormat="1" applyBorder="1"/>
    <xf numFmtId="11" fontId="0" fillId="0" borderId="0" xfId="0" applyNumberFormat="1" applyBorder="1"/>
    <xf numFmtId="1" fontId="0" fillId="0" borderId="20" xfId="0" applyNumberFormat="1" applyBorder="1"/>
    <xf numFmtId="1" fontId="0" fillId="0" borderId="19" xfId="0" applyNumberFormat="1" applyBorder="1"/>
    <xf numFmtId="1" fontId="0" fillId="0" borderId="6" xfId="0" applyNumberFormat="1" applyBorder="1"/>
    <xf numFmtId="166" fontId="0" fillId="0" borderId="12" xfId="0" applyNumberFormat="1" applyBorder="1"/>
    <xf numFmtId="166" fontId="0" fillId="0" borderId="17" xfId="0" applyNumberFormat="1" applyBorder="1"/>
    <xf numFmtId="1" fontId="0" fillId="0" borderId="11" xfId="0" applyNumberFormat="1" applyBorder="1"/>
    <xf numFmtId="1" fontId="9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0" fontId="13" fillId="0" borderId="0" xfId="0" applyFont="1"/>
    <xf numFmtId="166" fontId="0" fillId="0" borderId="0" xfId="0" applyNumberFormat="1" applyAlignment="1">
      <alignment horizontal="right"/>
    </xf>
    <xf numFmtId="0" fontId="0" fillId="0" borderId="0" xfId="0" quotePrefix="1"/>
    <xf numFmtId="0" fontId="0" fillId="5" borderId="0" xfId="0" applyFont="1" applyFill="1"/>
    <xf numFmtId="0" fontId="14" fillId="0" borderId="0" xfId="0" applyFont="1"/>
    <xf numFmtId="0" fontId="15" fillId="0" borderId="0" xfId="0" applyFont="1"/>
    <xf numFmtId="168" fontId="0" fillId="0" borderId="0" xfId="0" applyNumberFormat="1"/>
    <xf numFmtId="0" fontId="0" fillId="4" borderId="0" xfId="0" applyFill="1"/>
    <xf numFmtId="0" fontId="15" fillId="0" borderId="0" xfId="0" quotePrefix="1" applyFont="1"/>
    <xf numFmtId="0" fontId="16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1" fillId="4" borderId="5" xfId="0" applyFont="1" applyFill="1" applyBorder="1" applyAlignment="1"/>
    <xf numFmtId="0" fontId="0" fillId="4" borderId="1" xfId="0" applyFill="1" applyBorder="1" applyAlignment="1"/>
    <xf numFmtId="0" fontId="0" fillId="4" borderId="6" xfId="0" applyFill="1" applyBorder="1" applyAlignment="1"/>
    <xf numFmtId="0" fontId="0" fillId="4" borderId="17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0" fillId="4" borderId="21" xfId="0" applyFont="1" applyFill="1" applyBorder="1" applyAlignment="1">
      <alignment wrapText="1"/>
    </xf>
    <xf numFmtId="0" fontId="11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Geschatte flashover tijd incl. objectspecifieke preventieve voorzieningen</c:v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Toolbox!$F$6</c:f>
              <c:numCache>
                <c:formatCode>[$-F400]h:mm:ss\ AM/PM</c:formatCode>
                <c:ptCount val="1"/>
                <c:pt idx="0">
                  <c:v>4.1666670000000003E-2</c:v>
                </c:pt>
              </c:numCache>
            </c:numRef>
          </c:val>
        </c:ser>
        <c:ser>
          <c:idx val="3"/>
          <c:order val="1"/>
          <c:tx>
            <c:strRef>
              <c:f>Toolbox!$B$8</c:f>
              <c:strCache>
                <c:ptCount val="1"/>
                <c:pt idx="0">
                  <c:v>Operationele tijd o.b.v. normatieve opkomsttijd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Toolbox!$F$8</c:f>
              <c:numCache>
                <c:formatCode>[h]:mm:ss;@</c:formatCode>
                <c:ptCount val="1"/>
                <c:pt idx="0">
                  <c:v>1.6086398613172914E-2</c:v>
                </c:pt>
              </c:numCache>
            </c:numRef>
          </c:val>
        </c:ser>
        <c:ser>
          <c:idx val="1"/>
          <c:order val="2"/>
          <c:tx>
            <c:strRef>
              <c:f>Toolbox!$B$9</c:f>
              <c:strCache>
                <c:ptCount val="1"/>
                <c:pt idx="0">
                  <c:v>Operationele tijd o.b.v. werkelijke opkomsttijd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Toolbox!$F$9</c:f>
              <c:numCache>
                <c:formatCode>[h]:mm:ss;@</c:formatCode>
                <c:ptCount val="1"/>
                <c:pt idx="0">
                  <c:v>2.3029570323272748E-2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491008"/>
        <c:axId val="224492544"/>
      </c:barChart>
      <c:catAx>
        <c:axId val="224491008"/>
        <c:scaling>
          <c:orientation val="minMax"/>
        </c:scaling>
        <c:delete val="1"/>
        <c:axPos val="b"/>
        <c:majorTickMark val="none"/>
        <c:minorTickMark val="none"/>
        <c:tickLblPos val="nextTo"/>
        <c:crossAx val="224492544"/>
        <c:crosses val="autoZero"/>
        <c:auto val="1"/>
        <c:lblAlgn val="ctr"/>
        <c:lblOffset val="100"/>
        <c:noMultiLvlLbl val="0"/>
      </c:catAx>
      <c:valAx>
        <c:axId val="224492544"/>
        <c:scaling>
          <c:orientation val="minMax"/>
          <c:max val="4.1666666666666713E-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Tijd</a:t>
                </a:r>
                <a:r>
                  <a:rPr lang="nl-NL" baseline="0"/>
                  <a:t> [min]</a:t>
                </a:r>
                <a:endParaRPr lang="nl-NL"/>
              </a:p>
            </c:rich>
          </c:tx>
          <c:layout/>
          <c:overlay val="0"/>
        </c:title>
        <c:numFmt formatCode="[$-F400]h:mm:ss\ AM/PM" sourceLinked="1"/>
        <c:majorTickMark val="out"/>
        <c:minorTickMark val="none"/>
        <c:tickLblPos val="nextTo"/>
        <c:crossAx val="224491008"/>
        <c:crosses val="autoZero"/>
        <c:crossBetween val="between"/>
        <c:majorUnit val="3.4722222222222212E-3"/>
        <c:minorUnit val="1.0000000000000002E-3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betrouwbaarheidsindex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[1]Blad1!$A$21</c:f>
              <c:strCache>
                <c:ptCount val="1"/>
                <c:pt idx="0">
                  <c:v>t [min]</c:v>
                </c:pt>
              </c:strCache>
            </c:strRef>
          </c:tx>
          <c:marker>
            <c:symbol val="none"/>
          </c:marker>
          <c:xVal>
            <c:numRef>
              <c:f>[1]Blad1!$A$23:$A$33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[1]Blad1!$B$23:$B$33</c:f>
              <c:numCache>
                <c:formatCode>General</c:formatCode>
                <c:ptCount val="11"/>
                <c:pt idx="0">
                  <c:v>-3.3671840991510633</c:v>
                </c:pt>
                <c:pt idx="1">
                  <c:v>-2.6351875558573541</c:v>
                </c:pt>
                <c:pt idx="2">
                  <c:v>-1.9031910125636446</c:v>
                </c:pt>
                <c:pt idx="3">
                  <c:v>-1.1711944692699352</c:v>
                </c:pt>
                <c:pt idx="4">
                  <c:v>-0.43919792597622564</c:v>
                </c:pt>
                <c:pt idx="5">
                  <c:v>0.2927986173174838</c:v>
                </c:pt>
                <c:pt idx="6">
                  <c:v>1.0247951606111931</c:v>
                </c:pt>
                <c:pt idx="7">
                  <c:v>1.7567917039049026</c:v>
                </c:pt>
                <c:pt idx="8">
                  <c:v>2.4887882471986122</c:v>
                </c:pt>
                <c:pt idx="9">
                  <c:v>3.2207847904923215</c:v>
                </c:pt>
                <c:pt idx="10">
                  <c:v>3.9527813337860311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25696"/>
        <c:axId val="224802304"/>
      </c:scatterChart>
      <c:valAx>
        <c:axId val="224525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t [min]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802304"/>
        <c:crosses val="autoZero"/>
        <c:crossBetween val="midCat"/>
      </c:valAx>
      <c:valAx>
        <c:axId val="224802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beta(Ttotaal)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25696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betrouwbaarheidsindex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[1]Blad1!$A$21</c:f>
              <c:strCache>
                <c:ptCount val="1"/>
                <c:pt idx="0">
                  <c:v>t [min]</c:v>
                </c:pt>
              </c:strCache>
            </c:strRef>
          </c:tx>
          <c:marker>
            <c:symbol val="none"/>
          </c:marker>
          <c:xVal>
            <c:numRef>
              <c:f>[1]Blad1!$A$23:$A$33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[1]Blad1!$B$23:$B$33</c:f>
              <c:numCache>
                <c:formatCode>General</c:formatCode>
                <c:ptCount val="11"/>
                <c:pt idx="0">
                  <c:v>-3.3671840991510633</c:v>
                </c:pt>
                <c:pt idx="1">
                  <c:v>-2.6351875558573541</c:v>
                </c:pt>
                <c:pt idx="2">
                  <c:v>-1.9031910125636446</c:v>
                </c:pt>
                <c:pt idx="3">
                  <c:v>-1.1711944692699352</c:v>
                </c:pt>
                <c:pt idx="4">
                  <c:v>-0.43919792597622564</c:v>
                </c:pt>
                <c:pt idx="5">
                  <c:v>0.2927986173174838</c:v>
                </c:pt>
                <c:pt idx="6">
                  <c:v>1.0247951606111931</c:v>
                </c:pt>
                <c:pt idx="7">
                  <c:v>1.7567917039049026</c:v>
                </c:pt>
                <c:pt idx="8">
                  <c:v>2.4887882471986122</c:v>
                </c:pt>
                <c:pt idx="9">
                  <c:v>3.2207847904923215</c:v>
                </c:pt>
                <c:pt idx="10">
                  <c:v>3.9527813337860311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61568"/>
        <c:axId val="224892416"/>
      </c:scatterChart>
      <c:valAx>
        <c:axId val="224861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t [min]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892416"/>
        <c:crosses val="autoZero"/>
        <c:crossBetween val="midCat"/>
      </c:valAx>
      <c:valAx>
        <c:axId val="224892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beta(Ttotaal)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861568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4" dropStyle="combo" dx="16" fmlaLink="$O$4" fmlaRange="Flashovermatrix!$C$32:$C$35" noThreeD="1" val="0"/>
</file>

<file path=xl/ctrlProps/ctrlProp2.xml><?xml version="1.0" encoding="utf-8"?>
<formControlPr xmlns="http://schemas.microsoft.com/office/spreadsheetml/2009/9/main" objectType="Drop" dropLines="4" dropStyle="combo" dx="16" fmlaLink="$O$8" fmlaRange="Flashovermatrix!$D$32:$D$35" noThreeD="1" val="0"/>
</file>

<file path=xl/ctrlProps/ctrlProp3.xml><?xml version="1.0" encoding="utf-8"?>
<formControlPr xmlns="http://schemas.microsoft.com/office/spreadsheetml/2009/9/main" objectType="Drop" dropLines="4" dropStyle="combo" dx="16" fmlaLink="$O$6" fmlaRange="Flashovermatrix!$E$32:$E$33" noThreeD="1" val="0"/>
</file>

<file path=xl/ctrlProps/ctrlProp4.xml><?xml version="1.0" encoding="utf-8"?>
<formControlPr xmlns="http://schemas.microsoft.com/office/spreadsheetml/2009/9/main" objectType="Drop" dropLines="4" dropStyle="combo" dx="16" fmlaLink="$O$10" fmlaRange="Flashovermatrix!$F$32:$F$34" noThreeD="1" sel="2" val="0"/>
</file>

<file path=xl/ctrlProps/ctrlProp5.xml><?xml version="1.0" encoding="utf-8"?>
<formControlPr xmlns="http://schemas.microsoft.com/office/spreadsheetml/2009/9/main" objectType="Drop" dropStyle="combo" dx="16" fmlaLink="$O$13" fmlaRange="Uitgangspunten!$C$2:$C$17" noThreeD="1" sel="13" val="8"/>
</file>

<file path=xl/ctrlProps/ctrlProp6.xml><?xml version="1.0" encoding="utf-8"?>
<formControlPr xmlns="http://schemas.microsoft.com/office/spreadsheetml/2009/9/main" objectType="CheckBox" checked="Checked" fmlaLink="$N$23" lockText="1" noThreeD="1"/>
</file>

<file path=xl/ctrlProps/ctrlProp7.xml><?xml version="1.0" encoding="utf-8"?>
<formControlPr xmlns="http://schemas.microsoft.com/office/spreadsheetml/2009/9/main" objectType="CheckBox" fmlaLink="$N$24" lockText="1" noThreeD="1"/>
</file>

<file path=xl/ctrlProps/ctrlProp8.xml><?xml version="1.0" encoding="utf-8"?>
<formControlPr xmlns="http://schemas.microsoft.com/office/spreadsheetml/2009/9/main" objectType="CheckBox" fmlaLink="$N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600074</xdr:colOff>
      <xdr:row>8</xdr:row>
      <xdr:rowOff>31334</xdr:rowOff>
    </xdr:from>
    <xdr:to>
      <xdr:col>9</xdr:col>
      <xdr:colOff>19049</xdr:colOff>
      <xdr:row>27</xdr:row>
      <xdr:rowOff>29594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602959"/>
          <a:ext cx="4905375" cy="3617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2</xdr:row>
          <xdr:rowOff>180975</xdr:rowOff>
        </xdr:from>
        <xdr:to>
          <xdr:col>15</xdr:col>
          <xdr:colOff>209550</xdr:colOff>
          <xdr:row>4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</xdr:row>
          <xdr:rowOff>0</xdr:rowOff>
        </xdr:from>
        <xdr:to>
          <xdr:col>15</xdr:col>
          <xdr:colOff>209550</xdr:colOff>
          <xdr:row>7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</xdr:row>
          <xdr:rowOff>180975</xdr:rowOff>
        </xdr:from>
        <xdr:to>
          <xdr:col>15</xdr:col>
          <xdr:colOff>219075</xdr:colOff>
          <xdr:row>6</xdr:row>
          <xdr:rowOff>9525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8</xdr:row>
          <xdr:rowOff>171450</xdr:rowOff>
        </xdr:from>
        <xdr:to>
          <xdr:col>15</xdr:col>
          <xdr:colOff>209550</xdr:colOff>
          <xdr:row>10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11</xdr:row>
          <xdr:rowOff>161925</xdr:rowOff>
        </xdr:from>
        <xdr:to>
          <xdr:col>17</xdr:col>
          <xdr:colOff>552450</xdr:colOff>
          <xdr:row>13</xdr:row>
          <xdr:rowOff>28575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2</xdr:row>
      <xdr:rowOff>2380</xdr:rowOff>
    </xdr:from>
    <xdr:to>
      <xdr:col>8</xdr:col>
      <xdr:colOff>523875</xdr:colOff>
      <xdr:row>28</xdr:row>
      <xdr:rowOff>126205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28575</xdr:colOff>
          <xdr:row>23</xdr:row>
          <xdr:rowOff>0</xdr:rowOff>
        </xdr:from>
        <xdr:to>
          <xdr:col>13</xdr:col>
          <xdr:colOff>266700</xdr:colOff>
          <xdr:row>24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28575</xdr:colOff>
          <xdr:row>24</xdr:row>
          <xdr:rowOff>0</xdr:rowOff>
        </xdr:from>
        <xdr:to>
          <xdr:col>13</xdr:col>
          <xdr:colOff>266700</xdr:colOff>
          <xdr:row>25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36</xdr:row>
      <xdr:rowOff>76202</xdr:rowOff>
    </xdr:from>
    <xdr:to>
      <xdr:col>4</xdr:col>
      <xdr:colOff>209550</xdr:colOff>
      <xdr:row>54</xdr:row>
      <xdr:rowOff>66676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36</xdr:row>
      <xdr:rowOff>76202</xdr:rowOff>
    </xdr:from>
    <xdr:to>
      <xdr:col>4</xdr:col>
      <xdr:colOff>209550</xdr:colOff>
      <xdr:row>54</xdr:row>
      <xdr:rowOff>66676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babilistische%20benadering%20opkomsttij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21">
          <cell r="A21" t="str">
            <v>t [min]</v>
          </cell>
        </row>
        <row r="23">
          <cell r="A23">
            <v>0</v>
          </cell>
          <cell r="B23">
            <v>-3.3671840991510633</v>
          </cell>
        </row>
        <row r="24">
          <cell r="A24">
            <v>5</v>
          </cell>
          <cell r="B24">
            <v>-2.6351875558573541</v>
          </cell>
        </row>
        <row r="25">
          <cell r="A25">
            <v>10</v>
          </cell>
          <cell r="B25">
            <v>-1.9031910125636446</v>
          </cell>
        </row>
        <row r="26">
          <cell r="A26">
            <v>15</v>
          </cell>
          <cell r="B26">
            <v>-1.1711944692699352</v>
          </cell>
        </row>
        <row r="27">
          <cell r="A27">
            <v>20</v>
          </cell>
          <cell r="B27">
            <v>-0.43919792597622564</v>
          </cell>
        </row>
        <row r="28">
          <cell r="A28">
            <v>25</v>
          </cell>
          <cell r="B28">
            <v>0.2927986173174838</v>
          </cell>
        </row>
        <row r="29">
          <cell r="A29">
            <v>30</v>
          </cell>
          <cell r="B29">
            <v>1.0247951606111931</v>
          </cell>
        </row>
        <row r="30">
          <cell r="A30">
            <v>35</v>
          </cell>
          <cell r="B30">
            <v>1.7567917039049026</v>
          </cell>
        </row>
        <row r="31">
          <cell r="A31">
            <v>40</v>
          </cell>
          <cell r="B31">
            <v>2.4887882471986122</v>
          </cell>
        </row>
        <row r="32">
          <cell r="A32">
            <v>45</v>
          </cell>
          <cell r="B32">
            <v>3.2207847904923215</v>
          </cell>
        </row>
        <row r="33">
          <cell r="A33">
            <v>50</v>
          </cell>
          <cell r="B33">
            <v>3.9527813337860311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showGridLines="0" tabSelected="1" zoomScale="80" zoomScaleNormal="80" workbookViewId="0">
      <selection activeCell="B1" sqref="B1"/>
    </sheetView>
  </sheetViews>
  <sheetFormatPr defaultRowHeight="15" x14ac:dyDescent="0.25"/>
  <sheetData>
    <row r="1" spans="2:11" s="87" customFormat="1" ht="18.75" x14ac:dyDescent="0.3">
      <c r="B1" s="88" t="s">
        <v>112</v>
      </c>
    </row>
    <row r="2" spans="2:11" s="87" customFormat="1" x14ac:dyDescent="0.25">
      <c r="B2" s="87" t="s">
        <v>113</v>
      </c>
      <c r="K2" s="87" t="s">
        <v>122</v>
      </c>
    </row>
    <row r="4" spans="2:11" x14ac:dyDescent="0.25">
      <c r="B4" t="s">
        <v>114</v>
      </c>
      <c r="K4" t="s">
        <v>123</v>
      </c>
    </row>
    <row r="5" spans="2:11" x14ac:dyDescent="0.25">
      <c r="B5" t="s">
        <v>115</v>
      </c>
      <c r="K5" t="s">
        <v>124</v>
      </c>
    </row>
    <row r="6" spans="2:11" x14ac:dyDescent="0.25">
      <c r="B6" t="s">
        <v>116</v>
      </c>
      <c r="K6" s="92" t="s">
        <v>125</v>
      </c>
    </row>
    <row r="7" spans="2:11" x14ac:dyDescent="0.25">
      <c r="B7" t="s">
        <v>118</v>
      </c>
      <c r="K7" s="92" t="s">
        <v>126</v>
      </c>
    </row>
    <row r="8" spans="2:11" x14ac:dyDescent="0.25">
      <c r="B8" t="s">
        <v>117</v>
      </c>
    </row>
    <row r="9" spans="2:11" x14ac:dyDescent="0.25">
      <c r="K9" t="s">
        <v>127</v>
      </c>
    </row>
    <row r="10" spans="2:11" x14ac:dyDescent="0.25">
      <c r="K10" t="s">
        <v>128</v>
      </c>
    </row>
    <row r="11" spans="2:11" x14ac:dyDescent="0.25">
      <c r="K11" t="s">
        <v>129</v>
      </c>
    </row>
    <row r="12" spans="2:11" x14ac:dyDescent="0.25">
      <c r="K12" t="s">
        <v>130</v>
      </c>
    </row>
    <row r="14" spans="2:11" x14ac:dyDescent="0.25">
      <c r="K14" t="s">
        <v>141</v>
      </c>
    </row>
    <row r="15" spans="2:11" x14ac:dyDescent="0.25">
      <c r="K15" t="s">
        <v>142</v>
      </c>
    </row>
    <row r="16" spans="2:11" x14ac:dyDescent="0.25">
      <c r="K16" t="s">
        <v>156</v>
      </c>
    </row>
    <row r="17" spans="2:11" x14ac:dyDescent="0.25">
      <c r="K17" t="s">
        <v>143</v>
      </c>
    </row>
    <row r="18" spans="2:11" x14ac:dyDescent="0.25">
      <c r="K18" t="s">
        <v>147</v>
      </c>
    </row>
    <row r="19" spans="2:11" x14ac:dyDescent="0.25">
      <c r="K19" t="s">
        <v>148</v>
      </c>
    </row>
    <row r="20" spans="2:11" x14ac:dyDescent="0.25">
      <c r="K20" t="s">
        <v>149</v>
      </c>
    </row>
    <row r="21" spans="2:11" x14ac:dyDescent="0.25">
      <c r="K21" t="s">
        <v>150</v>
      </c>
    </row>
    <row r="22" spans="2:11" x14ac:dyDescent="0.25">
      <c r="K22" t="s">
        <v>151</v>
      </c>
    </row>
    <row r="24" spans="2:11" x14ac:dyDescent="0.25">
      <c r="K24" t="s">
        <v>132</v>
      </c>
    </row>
    <row r="25" spans="2:11" x14ac:dyDescent="0.25">
      <c r="K25" t="s">
        <v>131</v>
      </c>
    </row>
    <row r="26" spans="2:11" x14ac:dyDescent="0.25">
      <c r="K26" t="s">
        <v>144</v>
      </c>
    </row>
    <row r="27" spans="2:11" x14ac:dyDescent="0.25">
      <c r="K27" t="s">
        <v>145</v>
      </c>
    </row>
    <row r="29" spans="2:11" x14ac:dyDescent="0.25">
      <c r="B29" t="s">
        <v>119</v>
      </c>
      <c r="K29" t="s">
        <v>133</v>
      </c>
    </row>
    <row r="30" spans="2:11" x14ac:dyDescent="0.25">
      <c r="B30" t="s">
        <v>120</v>
      </c>
      <c r="K30" s="95" t="s">
        <v>146</v>
      </c>
    </row>
    <row r="31" spans="2:11" x14ac:dyDescent="0.25">
      <c r="K31" s="95" t="s">
        <v>152</v>
      </c>
    </row>
    <row r="32" spans="2:11" x14ac:dyDescent="0.25">
      <c r="K32" s="98" t="s">
        <v>153</v>
      </c>
    </row>
  </sheetData>
  <sheetProtection password="D392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32"/>
  <sheetViews>
    <sheetView showGridLines="0" zoomScale="80" zoomScaleNormal="80" workbookViewId="0">
      <selection activeCell="B1" sqref="B1:H1"/>
    </sheetView>
  </sheetViews>
  <sheetFormatPr defaultRowHeight="15" x14ac:dyDescent="0.25"/>
  <cols>
    <col min="7" max="8" width="9.42578125" customWidth="1"/>
    <col min="13" max="13" width="14.28515625" customWidth="1"/>
    <col min="14" max="14" width="5.42578125" customWidth="1"/>
    <col min="15" max="15" width="9.42578125" bestFit="1" customWidth="1"/>
    <col min="21" max="21" width="10" customWidth="1"/>
  </cols>
  <sheetData>
    <row r="1" spans="2:19" s="88" customFormat="1" ht="18.75" x14ac:dyDescent="0.3">
      <c r="B1" s="100" t="s">
        <v>121</v>
      </c>
      <c r="C1" s="100"/>
      <c r="D1" s="100"/>
      <c r="E1" s="100"/>
      <c r="F1" s="100"/>
      <c r="G1" s="100"/>
      <c r="H1" s="100"/>
    </row>
    <row r="3" spans="2:19" x14ac:dyDescent="0.25">
      <c r="F3" s="3">
        <f>IF(AND(O4=1,O6=1,O8=1,O10=1),Flashovermatrix!K21,IF(AND(O4=1,O6=2,O8=1,O10=1),Flashovermatrix!K22,IF(AND(O4=2,O6=1,O8=1,O10=1),Flashovermatrix!K23,IF(AND(O4=2,O6=2,O8=1,O10=1),Flashovermatrix!K24,IF(AND(O4=3,O6=1,O8=1,O10=1),Flashovermatrix!K25,IF(AND(O4=3,O6=2,O8=1,O10=1),Flashovermatrix!K26,IF(AND(O4=4,O6=1,O8=1,O10=1),Flashovermatrix!K27,IF(AND(O4=4,O6=2,O8=1,O10=1),Flashovermatrix!K28,IF(AND(O4=1,O6=1,O8=2,O10=1),Flashovermatrix!L21,IF(AND(O4=1,O6=2,O8=2,O10=1),Flashovermatrix!L22,IF(AND(O4=2,O6=1,O8=2,O10=1),Flashovermatrix!L23,IF(AND(O4=2,O6=2,O8=2,O10=1),Flashovermatrix!L24,IF(AND(O4=3,O6=1,O8=2,O10=1),Flashovermatrix!L25,IF(AND(O4=3,O6=2,O8=2,O10=1),Flashovermatrix!L26,IF(AND(O4=4,O6=1,O8=2,O10=1),Flashovermatrix!L27,IF(AND(O4=4,O6=2,O8=2,O10=1),Flashovermatrix!L28,IF(AND(O4=1,O6=1,O8=3,O10=1),Flashovermatrix!M21,IF(AND(O4=1,O6=2,O8=3,O10=1),Flashovermatrix!M22,IF(AND(O4=2,O6=1,O8=3,O10=1),Flashovermatrix!M23,IF(AND(O4=2,O6=2,O8=3,O10=1),Flashovermatrix!M24,IF(AND(O4=3,O6=1,O8=3,O10=1),Flashovermatrix!M25,IF(AND(O4=3,O6=2,O8=3,O10=1),Flashovermatrix!M26,IF(AND(O4=4,O6=1,O8=3,O10=1),Flashovermatrix!M27,IF(AND(O4=4,O6=2,O8=3,O10=1),Flashovermatrix!M28,IF(AND(O4=1,O6=1,O8=4,O10=1),Flashovermatrix!N21,IF(AND(O4=1,O6=2,O8=4,O10=1),Flashovermatrix!N22,IF(AND(O4=2,O6=1,O8=4,O10=1),Flashovermatrix!N23,IF(AND(O4=2,O6=2,O8=4,O10=1),Flashovermatrix!N24,IF(AND(O4=3,O6=1,O8=4,O10=1),Flashovermatrix!N25,IF(AND(O4=3,O6=2,O8=4,O10=1),Flashovermatrix!N26,IF(AND(O4=4,O6=1,O8=4,O10=1),Flashovermatrix!N27,IF(AND(O4=4,O6=2,O8=4,O10=1),Flashovermatrix!N28,IF(AND(O4=1,O6=1,O8=1,O10=2),Flashovermatrix!G21,IF(AND(O4=1,O6=2,O8=1,O10=2),Flashovermatrix!G22,IF(AND(O4=2,O6=1,O8=1,O10=2),Flashovermatrix!G23,IF(AND(O4=2,O6=2,O8=1,O10=2),Flashovermatrix!G24,IF(AND(O4=3,O6=1,O8=1,O10=2),Flashovermatrix!G25,IF(AND(O4=3,O6=2,O8=1,O10=2),Flashovermatrix!G26,IF(AND(O4=4,O6=1,O8=1,O10=2),Flashovermatrix!G27,IF(AND(O4=4,O6=2,O8=1,O10=2),Flashovermatrix!G28,IF(AND(O4=1,O6=1,O8=2,O10=2),Flashovermatrix!H21,IF(AND(O4=1,O6=2,O8=2,O10=2),Flashovermatrix!H22,IF(AND(O4=2,O6=1,O8=2,O10=2),Flashovermatrix!H23,IF(AND(O4=2,O6=2,O8=2,O10=2),Flashovermatrix!H24,IF(AND(O4=3,O6=1,O8=2,O10=2),Flashovermatrix!H25,IF(AND(O4=3,O6=2,O8=2,O10=2),Flashovermatrix!H26,IF(AND(O4=4,O6=1,O8=2,O10=2),Flashovermatrix!H27,IF(AND(O4=4,O6=2,O8=2,O10=2),Flashovermatrix!H28,IF(AND(O4=1,O6=1,O8=3,O10=2),Flashovermatrix!I21,IF(AND(O4=1,O6=2,O8=3,O10=2),Flashovermatrix!I22,IF(AND(O4=2,O6=1,O8=3,O10=2),Flashovermatrix!I23,IF(AND(O4=2,O6=2,O8=3,O10=2),Flashovermatrix!I24,IF(AND(O4=3,O6=1,O8=3,O10=2),Flashovermatrix!I25,IF(AND(O4=3,O6=2,O8=3,O10=2),Flashovermatrix!I26,IF(AND(O4=4,O6=1,O8=3,O10=2),Flashovermatrix!I27,IF(AND(O4=4,O6=2,O8=3,O10=2),Flashovermatrix!I28,IF(AND(O4=1,O6=1,O8=4,O10=2),Flashovermatrix!J21,IF(AND(O4=1,O6=2,O8=4,O10=2),Flashovermatrix!J22,IF(AND(O4=2,O6=1,O8=4,O10=2),Flashovermatrix!J23,IF(AND(O4=2,O6=2,O8=4,O10=2),Flashovermatrix!J24,IF(AND(O4=3,O6=1,O8=4,O10=2),Flashovermatrix!J25,IF(AND(O4=3,O6=2,O8=4,O10=2),Flashovermatrix!J26,IF(AND(O4=4,O6=1,O8=4,O10=2),Flashovermatrix!J27,IF(AND(O4=4,O6=2,O8=4,O10=2),Flashovermatrix!J28,0))))))))))))))))))))))))))))))))))))))))))))))))))))))))))))))))</f>
        <v>2.4305555555555556E-3</v>
      </c>
      <c r="J3" s="90" t="s">
        <v>109</v>
      </c>
    </row>
    <row r="4" spans="2:19" ht="18" x14ac:dyDescent="0.35">
      <c r="F4" s="3">
        <f>IF(AND(O4=1,O6=1,O8=1,O10=3),Flashovermatrix!C21,IF(AND(O4=1,O6=2,O8=1,O10=3),Flashovermatrix!C22,IF(AND(O4=2,O6=1,O8=1,O10=3),Flashovermatrix!C23,IF(AND(O4=2,O6=2,O8=1,O10=3),Flashovermatrix!C24,IF(AND(O4=3,O6=1,O8=1,O10=3),Flashovermatrix!C25,IF(AND(O4=3,O6=2,O8=1,O10=3),Flashovermatrix!C26,IF(AND(O4=4,O6=1,O8=1,O10=3),Flashovermatrix!C27,IF(AND(O4=4,O6=2,O8=1,O10=3),Flashovermatrix!C28,IF(AND(O4=1,O6=1,O8=2,O10=3),Flashovermatrix!D21,IF(AND(O4=1,O6=2,O8=2,O10=3),Flashovermatrix!D22,IF(AND(O4=2,O6=1,O8=2,O10=3),Flashovermatrix!D23,IF(AND(O4=2,O6=2,O8=2,O10=3),Flashovermatrix!D24,IF(AND(O4=3,O6=1,O8=2,O10=3),Flashovermatrix!D25,IF(AND(O4=3,O6=2,O8=2,O10=3),Flashovermatrix!D26,IF(AND(O4=4,O6=1,O8=2,O10=3),Flashovermatrix!D27,IF(AND(O4=4,O6=2,O8=2,O10=3),Flashovermatrix!D28,IF(AND(O4=1,O6=1,O8=3,O10=3),Flashovermatrix!E21,IF(AND(O4=1,O6=2,O8=3,O10=3),Flashovermatrix!E22,IF(AND(O4=2,O6=1,O8=3,O10=3),Flashovermatrix!E23,IF(AND(O4=2,O6=2,O8=3,O10=3),Flashovermatrix!E24,IF(AND(O4=3,O6=1,O8=3,O10=3),Flashovermatrix!E25,IF(AND(O4=3,O6=2,O8=3,O10=3),Flashovermatrix!E26,IF(AND(O4=4,O6=1,O8=3,O10=3),Flashovermatrix!E27,IF(AND(O4=4,O6=2,O8=3,O10=3),Flashovermatrix!E28,IF(AND(O4=1,O6=1,O8=4,O10=3),Flashovermatrix!F21,IF(AND(O4=1,O6=2,O8=4,O10=3),Flashovermatrix!F22,IF(AND(O4=2,O6=1,O8=4,O10=3),Flashovermatrix!F23,IF(AND(O4=2,O6=2,O8=4,O10=3),Flashovermatrix!F24,IF(AND(O4=3,O6=1,O8=4,O10=3),Flashovermatrix!F25,IF(AND(O4=3,O6=2,O8=4,O10=3),Flashovermatrix!F26,IF(AND(O4=4,O6=1,O8=4,O10=3),Flashovermatrix!F27,IF(AND(O4=4,O6=2,O8=4,O10=3),Flashovermatrix!F28,0))))))))))))))))))))))))))))))))</f>
        <v>0</v>
      </c>
      <c r="J4" t="s">
        <v>8</v>
      </c>
      <c r="O4">
        <v>1</v>
      </c>
    </row>
    <row r="5" spans="2:19" ht="15" customHeight="1" x14ac:dyDescent="0.25">
      <c r="B5" t="s">
        <v>101</v>
      </c>
      <c r="F5" s="3">
        <f>IF(F4&gt;=0.001,F4,F3)</f>
        <v>2.4305555555555556E-3</v>
      </c>
    </row>
    <row r="6" spans="2:19" ht="17.25" x14ac:dyDescent="0.25">
      <c r="B6" t="s">
        <v>160</v>
      </c>
      <c r="F6" s="96">
        <f>IF($N$23, 0.04166667, IF($N$24, F$5*1.5, F$5))</f>
        <v>4.1666670000000003E-2</v>
      </c>
      <c r="G6" s="96"/>
      <c r="J6" t="s">
        <v>10</v>
      </c>
      <c r="O6">
        <v>1</v>
      </c>
    </row>
    <row r="7" spans="2:19" x14ac:dyDescent="0.25">
      <c r="F7" s="96"/>
    </row>
    <row r="8" spans="2:19" ht="18" x14ac:dyDescent="0.35">
      <c r="B8" t="s">
        <v>139</v>
      </c>
      <c r="F8" s="3">
        <f>(0.0416666666666667/60)*Norm!D17</f>
        <v>1.6086398613172914E-2</v>
      </c>
      <c r="J8" t="s">
        <v>9</v>
      </c>
      <c r="O8">
        <v>1</v>
      </c>
    </row>
    <row r="9" spans="2:19" x14ac:dyDescent="0.25">
      <c r="B9" t="s">
        <v>140</v>
      </c>
      <c r="F9" s="3">
        <f>(0.0416666666666667/60)*(Werkelijk!D17)</f>
        <v>2.3029570323272748E-2</v>
      </c>
    </row>
    <row r="10" spans="2:19" ht="18" x14ac:dyDescent="0.35">
      <c r="J10" t="s">
        <v>11</v>
      </c>
      <c r="O10">
        <v>2</v>
      </c>
    </row>
    <row r="11" spans="2:19" x14ac:dyDescent="0.25">
      <c r="B11" t="s">
        <v>158</v>
      </c>
      <c r="F11" s="2">
        <f>(F8-F5)*86400</f>
        <v>1179.8648401781397</v>
      </c>
      <c r="G11" t="s">
        <v>76</v>
      </c>
    </row>
    <row r="12" spans="2:19" x14ac:dyDescent="0.25">
      <c r="B12" t="s">
        <v>159</v>
      </c>
      <c r="F12" s="2">
        <f>(F9-F5)*86400</f>
        <v>1779.7548759307656</v>
      </c>
      <c r="G12" t="s">
        <v>76</v>
      </c>
    </row>
    <row r="13" spans="2:19" x14ac:dyDescent="0.25">
      <c r="B13" t="s">
        <v>159</v>
      </c>
      <c r="F13" s="2">
        <f>(F9-F6)*86400</f>
        <v>-1610.2454120692348</v>
      </c>
      <c r="G13" t="s">
        <v>76</v>
      </c>
      <c r="J13" s="90" t="s">
        <v>102</v>
      </c>
      <c r="O13">
        <v>13</v>
      </c>
    </row>
    <row r="15" spans="2:19" x14ac:dyDescent="0.25">
      <c r="B15" t="s">
        <v>100</v>
      </c>
      <c r="J15" s="90" t="s">
        <v>103</v>
      </c>
    </row>
    <row r="16" spans="2:19" x14ac:dyDescent="0.25">
      <c r="B16" t="s">
        <v>56</v>
      </c>
      <c r="F16">
        <v>4</v>
      </c>
      <c r="J16" t="s">
        <v>104</v>
      </c>
      <c r="O16" s="89">
        <f>Norm!H11</f>
        <v>5</v>
      </c>
      <c r="P16" s="97" t="s">
        <v>36</v>
      </c>
      <c r="Q16" s="97"/>
      <c r="R16" s="97"/>
      <c r="S16" s="97"/>
    </row>
    <row r="17" spans="2:21" x14ac:dyDescent="0.25">
      <c r="B17" t="s">
        <v>57</v>
      </c>
      <c r="F17">
        <v>3</v>
      </c>
      <c r="J17" t="s">
        <v>105</v>
      </c>
      <c r="O17" s="89">
        <v>15</v>
      </c>
      <c r="P17" s="97" t="s">
        <v>36</v>
      </c>
      <c r="Q17" s="97"/>
      <c r="R17" s="97"/>
      <c r="S17" s="97"/>
    </row>
    <row r="18" spans="2:21" x14ac:dyDescent="0.25">
      <c r="B18" t="s">
        <v>58</v>
      </c>
      <c r="F18">
        <v>2</v>
      </c>
      <c r="O18" s="93"/>
    </row>
    <row r="19" spans="2:21" x14ac:dyDescent="0.25">
      <c r="B19" t="s">
        <v>106</v>
      </c>
      <c r="F19">
        <v>1</v>
      </c>
      <c r="J19" s="90" t="s">
        <v>154</v>
      </c>
    </row>
    <row r="20" spans="2:21" x14ac:dyDescent="0.25">
      <c r="J20" s="71" t="s">
        <v>108</v>
      </c>
      <c r="O20" s="107" t="str">
        <f>IF(F$11&lt;0,B$19,IF(F$11&lt;1200,B$18,B$16))</f>
        <v>Defensieve binneninzet</v>
      </c>
      <c r="P20" s="107"/>
      <c r="Q20" s="107"/>
      <c r="R20" s="107"/>
      <c r="S20" s="107"/>
    </row>
    <row r="21" spans="2:21" x14ac:dyDescent="0.25">
      <c r="J21" s="71" t="s">
        <v>107</v>
      </c>
      <c r="O21" s="107" t="str">
        <f>IF(F$12&lt;0,B$19,IF(F$12&lt;1200,B$18,B$16))</f>
        <v>Defensieve buiteninzet</v>
      </c>
      <c r="P21" s="107"/>
      <c r="Q21" s="107"/>
      <c r="R21" s="107"/>
      <c r="S21" s="107"/>
    </row>
    <row r="22" spans="2:21" x14ac:dyDescent="0.25">
      <c r="N22" s="94"/>
    </row>
    <row r="23" spans="2:21" x14ac:dyDescent="0.25">
      <c r="J23" s="90" t="s">
        <v>155</v>
      </c>
      <c r="N23" s="94" t="b">
        <v>1</v>
      </c>
      <c r="O23" s="93" t="s">
        <v>134</v>
      </c>
    </row>
    <row r="24" spans="2:21" x14ac:dyDescent="0.25">
      <c r="J24" t="s">
        <v>138</v>
      </c>
      <c r="N24" s="94" t="b">
        <v>0</v>
      </c>
      <c r="O24" s="93" t="s">
        <v>135</v>
      </c>
    </row>
    <row r="25" spans="2:21" x14ac:dyDescent="0.25">
      <c r="N25" s="94" t="b">
        <v>0</v>
      </c>
      <c r="O25" t="s">
        <v>136</v>
      </c>
    </row>
    <row r="26" spans="2:21" ht="15.75" thickBot="1" x14ac:dyDescent="0.3"/>
    <row r="27" spans="2:21" x14ac:dyDescent="0.25">
      <c r="J27" s="90" t="s">
        <v>157</v>
      </c>
      <c r="O27" s="101" t="str">
        <f>IF(F$13&lt;0, B$19, IF(N$25, IF(F$12&lt;1800, B$18, B$16), IF(F$12&lt;1200, B$18, B$16)))</f>
        <v>Offensieve binneninzet</v>
      </c>
      <c r="P27" s="102">
        <f t="shared" ref="P27:S27" si="0">IF(G$12&lt;0,C$19,IF(G$12&lt;1200,C$18,C$16))</f>
        <v>0</v>
      </c>
      <c r="Q27" s="102">
        <f t="shared" si="0"/>
        <v>0</v>
      </c>
      <c r="R27" s="102">
        <f t="shared" si="0"/>
        <v>0</v>
      </c>
      <c r="S27" s="103">
        <f t="shared" si="0"/>
        <v>2</v>
      </c>
    </row>
    <row r="28" spans="2:21" ht="33" customHeight="1" thickBot="1" x14ac:dyDescent="0.3">
      <c r="J28" s="90" t="s">
        <v>137</v>
      </c>
      <c r="O28" s="104" t="str">
        <f>IF(VLOOKUP(O20, B$16:F$19,5,FALSE)&lt;VLOOKUP(O27, B$16:F$19,5,FALSE),"Aanvullende maatregelen noodzakelijk i.v.m. zwaardere inzetstrategie", IF(OR(N$23,N$24,N$25), "Geen aanvullende maatregelen noodzakelijk bij objectspecifieke voorzieningen", "Geen aanvullende maatregelen noodzakelijk"))</f>
        <v>Geen aanvullende maatregelen noodzakelijk bij objectspecifieke voorzieningen</v>
      </c>
      <c r="P28" s="105"/>
      <c r="Q28" s="105"/>
      <c r="R28" s="105"/>
      <c r="S28" s="106"/>
    </row>
    <row r="29" spans="2:21" ht="30.75" customHeight="1" x14ac:dyDescent="0.25">
      <c r="O29" s="99" t="str">
        <f>IF(O$27="Defensieve buiteninzet","NB: Bij defensieve buiteninzet altijd secundaire bluswatercapaciteit controleren!","")</f>
        <v/>
      </c>
      <c r="P29" s="99"/>
      <c r="Q29" s="99"/>
      <c r="R29" s="99"/>
      <c r="S29" s="99"/>
      <c r="U29" s="14"/>
    </row>
    <row r="32" spans="2:21" x14ac:dyDescent="0.25">
      <c r="O32" s="2"/>
    </row>
  </sheetData>
  <mergeCells count="6">
    <mergeCell ref="O29:S29"/>
    <mergeCell ref="B1:H1"/>
    <mergeCell ref="O27:S27"/>
    <mergeCell ref="O28:S28"/>
    <mergeCell ref="O20:S20"/>
    <mergeCell ref="O21:S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14</xdr:col>
                    <xdr:colOff>28575</xdr:colOff>
                    <xdr:row>2</xdr:row>
                    <xdr:rowOff>180975</xdr:rowOff>
                  </from>
                  <to>
                    <xdr:col>15</xdr:col>
                    <xdr:colOff>209550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 sizeWithCells="1">
                  <from>
                    <xdr:col>14</xdr:col>
                    <xdr:colOff>28575</xdr:colOff>
                    <xdr:row>7</xdr:row>
                    <xdr:rowOff>0</xdr:rowOff>
                  </from>
                  <to>
                    <xdr:col>15</xdr:col>
                    <xdr:colOff>209550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 sizeWithCells="1">
                  <from>
                    <xdr:col>14</xdr:col>
                    <xdr:colOff>38100</xdr:colOff>
                    <xdr:row>4</xdr:row>
                    <xdr:rowOff>180975</xdr:rowOff>
                  </from>
                  <to>
                    <xdr:col>15</xdr:col>
                    <xdr:colOff>219075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 sizeWithCells="1">
                  <from>
                    <xdr:col>14</xdr:col>
                    <xdr:colOff>28575</xdr:colOff>
                    <xdr:row>8</xdr:row>
                    <xdr:rowOff>171450</xdr:rowOff>
                  </from>
                  <to>
                    <xdr:col>15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 sizeWithCells="1">
                  <from>
                    <xdr:col>14</xdr:col>
                    <xdr:colOff>9525</xdr:colOff>
                    <xdr:row>11</xdr:row>
                    <xdr:rowOff>161925</xdr:rowOff>
                  </from>
                  <to>
                    <xdr:col>17</xdr:col>
                    <xdr:colOff>552450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>
                  <from>
                    <xdr:col>13</xdr:col>
                    <xdr:colOff>28575</xdr:colOff>
                    <xdr:row>23</xdr:row>
                    <xdr:rowOff>0</xdr:rowOff>
                  </from>
                  <to>
                    <xdr:col>13</xdr:col>
                    <xdr:colOff>266700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>
                  <from>
                    <xdr:col>13</xdr:col>
                    <xdr:colOff>28575</xdr:colOff>
                    <xdr:row>24</xdr:row>
                    <xdr:rowOff>0</xdr:rowOff>
                  </from>
                  <to>
                    <xdr:col>13</xdr:col>
                    <xdr:colOff>266700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="80" zoomScaleNormal="80" workbookViewId="0">
      <selection activeCell="B1" sqref="B1:H1"/>
    </sheetView>
  </sheetViews>
  <sheetFormatPr defaultRowHeight="15" x14ac:dyDescent="0.25"/>
  <cols>
    <col min="7" max="7" width="9.140625" style="11"/>
    <col min="11" max="11" width="9.140625" style="11"/>
  </cols>
  <sheetData>
    <row r="1" spans="1:1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x14ac:dyDescent="0.25">
      <c r="A2" s="108" t="s">
        <v>1</v>
      </c>
      <c r="B2" s="108" t="s">
        <v>2</v>
      </c>
      <c r="C2" s="108" t="s">
        <v>3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x14ac:dyDescent="0.25">
      <c r="A3" s="108"/>
      <c r="B3" s="108"/>
      <c r="C3" s="108" t="s">
        <v>97</v>
      </c>
      <c r="D3" s="108"/>
      <c r="E3" s="108"/>
      <c r="F3" s="108"/>
      <c r="G3" s="108" t="s">
        <v>98</v>
      </c>
      <c r="H3" s="108"/>
      <c r="I3" s="108"/>
      <c r="J3" s="108"/>
      <c r="K3" s="108" t="s">
        <v>99</v>
      </c>
      <c r="L3" s="108"/>
      <c r="M3" s="108"/>
      <c r="N3" s="108"/>
      <c r="O3" s="1"/>
    </row>
    <row r="4" spans="1:15" x14ac:dyDescent="0.25">
      <c r="A4" s="108"/>
      <c r="B4" s="108"/>
      <c r="C4" s="108" t="s">
        <v>4</v>
      </c>
      <c r="D4" s="108"/>
      <c r="E4" s="108"/>
      <c r="F4" s="108"/>
      <c r="G4" s="108" t="s">
        <v>4</v>
      </c>
      <c r="H4" s="108"/>
      <c r="I4" s="108"/>
      <c r="J4" s="108"/>
      <c r="K4" s="108" t="s">
        <v>4</v>
      </c>
      <c r="L4" s="108"/>
      <c r="M4" s="108"/>
      <c r="N4" s="108"/>
      <c r="O4" s="1"/>
    </row>
    <row r="5" spans="1:15" x14ac:dyDescent="0.25">
      <c r="A5" t="s">
        <v>5</v>
      </c>
      <c r="B5" t="s">
        <v>6</v>
      </c>
      <c r="C5">
        <v>3</v>
      </c>
      <c r="D5">
        <v>5</v>
      </c>
      <c r="E5">
        <v>10</v>
      </c>
      <c r="F5">
        <v>15</v>
      </c>
      <c r="G5" s="11">
        <v>3</v>
      </c>
      <c r="H5">
        <v>5</v>
      </c>
      <c r="I5">
        <v>10</v>
      </c>
      <c r="J5">
        <v>15</v>
      </c>
      <c r="K5" s="11">
        <v>3</v>
      </c>
      <c r="L5">
        <v>5</v>
      </c>
      <c r="M5">
        <v>10</v>
      </c>
      <c r="N5">
        <v>15</v>
      </c>
    </row>
    <row r="6" spans="1:15" x14ac:dyDescent="0.25">
      <c r="A6">
        <v>100</v>
      </c>
      <c r="B6">
        <v>250</v>
      </c>
      <c r="C6" s="2">
        <v>125</v>
      </c>
      <c r="D6" s="2">
        <v>154</v>
      </c>
      <c r="E6" s="2">
        <v>191</v>
      </c>
      <c r="F6" s="2">
        <v>223</v>
      </c>
      <c r="G6" s="12">
        <v>210</v>
      </c>
      <c r="H6" s="2">
        <v>256</v>
      </c>
      <c r="I6" s="2">
        <v>346</v>
      </c>
      <c r="J6" s="2">
        <v>408</v>
      </c>
      <c r="K6" s="12">
        <v>373</v>
      </c>
      <c r="L6" s="2">
        <v>462</v>
      </c>
      <c r="M6" s="2">
        <v>663</v>
      </c>
      <c r="N6" s="2">
        <v>779</v>
      </c>
    </row>
    <row r="7" spans="1:15" x14ac:dyDescent="0.25">
      <c r="A7">
        <v>100</v>
      </c>
      <c r="B7">
        <v>500</v>
      </c>
      <c r="C7" s="2">
        <v>119</v>
      </c>
      <c r="D7" s="2">
        <v>147</v>
      </c>
      <c r="E7" s="2">
        <v>216</v>
      </c>
      <c r="F7" s="2">
        <v>236</v>
      </c>
      <c r="G7" s="12">
        <v>201</v>
      </c>
      <c r="H7" s="2">
        <v>268</v>
      </c>
      <c r="I7" s="2">
        <v>438</v>
      </c>
      <c r="J7" s="2">
        <v>497</v>
      </c>
      <c r="K7" s="12">
        <v>375</v>
      </c>
      <c r="L7" s="2">
        <v>550</v>
      </c>
      <c r="M7" s="2">
        <v>841</v>
      </c>
      <c r="N7" s="2">
        <v>1010</v>
      </c>
    </row>
    <row r="8" spans="1:15" x14ac:dyDescent="0.25">
      <c r="A8">
        <v>500</v>
      </c>
      <c r="B8">
        <v>250</v>
      </c>
      <c r="C8" s="2">
        <v>220</v>
      </c>
      <c r="D8" s="2">
        <v>269</v>
      </c>
      <c r="E8" s="2">
        <v>345</v>
      </c>
      <c r="F8" s="2">
        <v>394</v>
      </c>
      <c r="G8" s="12">
        <v>382</v>
      </c>
      <c r="H8" s="2">
        <v>468</v>
      </c>
      <c r="I8" s="2">
        <v>638</v>
      </c>
      <c r="J8" s="2">
        <v>728</v>
      </c>
      <c r="K8" s="12">
        <v>700</v>
      </c>
      <c r="L8" s="2">
        <v>863</v>
      </c>
      <c r="M8" s="2">
        <v>1185</v>
      </c>
      <c r="N8" s="2">
        <v>1395</v>
      </c>
    </row>
    <row r="9" spans="1:15" x14ac:dyDescent="0.25">
      <c r="A9">
        <v>500</v>
      </c>
      <c r="B9">
        <v>500</v>
      </c>
      <c r="C9" s="2">
        <v>251</v>
      </c>
      <c r="D9" s="2">
        <v>319</v>
      </c>
      <c r="E9" s="2">
        <v>419</v>
      </c>
      <c r="F9" s="2">
        <v>498</v>
      </c>
      <c r="G9" s="12">
        <v>472</v>
      </c>
      <c r="H9" s="2">
        <v>586</v>
      </c>
      <c r="I9" s="2">
        <v>782</v>
      </c>
      <c r="J9" s="2">
        <v>945</v>
      </c>
      <c r="K9" s="12">
        <v>897</v>
      </c>
      <c r="L9" s="2">
        <v>1137</v>
      </c>
      <c r="M9" s="2">
        <v>1504</v>
      </c>
      <c r="N9" s="2">
        <v>1828</v>
      </c>
    </row>
    <row r="10" spans="1:15" x14ac:dyDescent="0.25">
      <c r="A10">
        <v>1000</v>
      </c>
      <c r="B10">
        <v>250</v>
      </c>
      <c r="C10" s="2">
        <v>285</v>
      </c>
      <c r="D10" s="2">
        <v>349</v>
      </c>
      <c r="E10" s="2">
        <v>452</v>
      </c>
      <c r="F10" s="2">
        <v>511</v>
      </c>
      <c r="G10" s="12">
        <v>505</v>
      </c>
      <c r="H10" s="2">
        <v>618</v>
      </c>
      <c r="I10" s="2">
        <v>843</v>
      </c>
      <c r="J10" s="2">
        <v>953</v>
      </c>
      <c r="K10" s="12">
        <v>947</v>
      </c>
      <c r="L10" s="2">
        <v>1172</v>
      </c>
      <c r="M10" s="2">
        <v>1522</v>
      </c>
      <c r="N10" s="2">
        <v>1829</v>
      </c>
    </row>
    <row r="11" spans="1:15" x14ac:dyDescent="0.25">
      <c r="A11">
        <v>1000</v>
      </c>
      <c r="B11">
        <v>500</v>
      </c>
      <c r="C11" s="2">
        <v>331</v>
      </c>
      <c r="D11" s="2">
        <v>416</v>
      </c>
      <c r="E11" s="2">
        <v>545</v>
      </c>
      <c r="F11" s="2">
        <v>644</v>
      </c>
      <c r="G11" s="12">
        <v>616</v>
      </c>
      <c r="H11" s="2">
        <v>774</v>
      </c>
      <c r="I11" s="2">
        <v>1024</v>
      </c>
      <c r="J11" s="2">
        <v>1224</v>
      </c>
      <c r="K11" s="12">
        <v>1179</v>
      </c>
      <c r="L11" s="2">
        <v>1482</v>
      </c>
      <c r="M11" s="2">
        <v>1973</v>
      </c>
      <c r="N11" s="2">
        <v>2364</v>
      </c>
    </row>
    <row r="12" spans="1:15" x14ac:dyDescent="0.25">
      <c r="A12">
        <v>2000</v>
      </c>
      <c r="B12">
        <v>250</v>
      </c>
      <c r="C12" s="2">
        <v>377</v>
      </c>
      <c r="D12" s="2">
        <v>459</v>
      </c>
      <c r="E12" s="2">
        <v>595</v>
      </c>
      <c r="F12" s="2">
        <v>667</v>
      </c>
      <c r="G12" s="12">
        <v>678</v>
      </c>
      <c r="H12" s="2">
        <v>826</v>
      </c>
      <c r="I12" s="2">
        <v>1123</v>
      </c>
      <c r="J12" s="2">
        <v>1254</v>
      </c>
      <c r="K12" s="12">
        <v>1301</v>
      </c>
      <c r="L12" s="2">
        <v>1555</v>
      </c>
      <c r="M12" s="2">
        <v>2164</v>
      </c>
      <c r="N12" s="2">
        <v>2413</v>
      </c>
    </row>
    <row r="13" spans="1:15" x14ac:dyDescent="0.25">
      <c r="A13">
        <v>2000</v>
      </c>
      <c r="B13">
        <v>500</v>
      </c>
      <c r="C13" s="2">
        <v>424</v>
      </c>
      <c r="D13" s="2">
        <v>545</v>
      </c>
      <c r="E13" s="2">
        <v>713</v>
      </c>
      <c r="F13" s="2">
        <v>838</v>
      </c>
      <c r="G13" s="12">
        <v>797</v>
      </c>
      <c r="H13" s="2">
        <v>1024</v>
      </c>
      <c r="I13" s="2">
        <v>1350</v>
      </c>
      <c r="J13" s="2">
        <v>1592</v>
      </c>
      <c r="K13" s="12">
        <v>1974</v>
      </c>
      <c r="L13" s="2">
        <v>1974</v>
      </c>
      <c r="M13" s="2">
        <v>2603</v>
      </c>
      <c r="N13" s="2">
        <v>3077</v>
      </c>
    </row>
    <row r="16" spans="1:15" x14ac:dyDescent="0.25">
      <c r="A16" s="108" t="s">
        <v>7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5" x14ac:dyDescent="0.25">
      <c r="A17" s="108" t="s">
        <v>1</v>
      </c>
      <c r="B17" s="108" t="s">
        <v>2</v>
      </c>
      <c r="C17" s="108" t="s">
        <v>3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5" x14ac:dyDescent="0.25">
      <c r="A18" s="108"/>
      <c r="B18" s="108"/>
      <c r="C18" s="108" t="s">
        <v>97</v>
      </c>
      <c r="D18" s="108"/>
      <c r="E18" s="108"/>
      <c r="F18" s="108"/>
      <c r="G18" s="108" t="s">
        <v>98</v>
      </c>
      <c r="H18" s="108"/>
      <c r="I18" s="108"/>
      <c r="J18" s="108"/>
      <c r="K18" s="108" t="s">
        <v>99</v>
      </c>
      <c r="L18" s="108"/>
      <c r="M18" s="108"/>
      <c r="N18" s="108"/>
      <c r="O18" s="1"/>
    </row>
    <row r="19" spans="1:15" x14ac:dyDescent="0.25">
      <c r="A19" s="108"/>
      <c r="B19" s="108"/>
      <c r="C19" s="108" t="s">
        <v>4</v>
      </c>
      <c r="D19" s="108"/>
      <c r="E19" s="108"/>
      <c r="F19" s="108"/>
      <c r="G19" s="108" t="s">
        <v>4</v>
      </c>
      <c r="H19" s="108"/>
      <c r="I19" s="108"/>
      <c r="J19" s="108"/>
      <c r="K19" s="108" t="s">
        <v>4</v>
      </c>
      <c r="L19" s="108"/>
      <c r="M19" s="108"/>
      <c r="N19" s="108"/>
      <c r="O19" s="1"/>
    </row>
    <row r="20" spans="1:15" x14ac:dyDescent="0.25">
      <c r="A20" t="s">
        <v>5</v>
      </c>
      <c r="B20" t="s">
        <v>6</v>
      </c>
      <c r="C20">
        <v>3</v>
      </c>
      <c r="D20">
        <v>5</v>
      </c>
      <c r="E20">
        <v>10</v>
      </c>
      <c r="F20">
        <v>15</v>
      </c>
      <c r="G20" s="11">
        <v>3</v>
      </c>
      <c r="H20">
        <v>5</v>
      </c>
      <c r="I20">
        <v>10</v>
      </c>
      <c r="J20">
        <v>15</v>
      </c>
      <c r="K20" s="11">
        <v>3</v>
      </c>
      <c r="L20">
        <v>5</v>
      </c>
      <c r="M20">
        <v>10</v>
      </c>
      <c r="N20">
        <v>15</v>
      </c>
    </row>
    <row r="21" spans="1:15" x14ac:dyDescent="0.25">
      <c r="A21">
        <v>100</v>
      </c>
      <c r="B21">
        <v>250</v>
      </c>
      <c r="C21" s="3">
        <f>C6/86400</f>
        <v>1.4467592592592592E-3</v>
      </c>
      <c r="D21" s="3">
        <f t="shared" ref="D21:N21" si="0">D6/86400</f>
        <v>1.7824074074074075E-3</v>
      </c>
      <c r="E21" s="3">
        <f t="shared" si="0"/>
        <v>2.2106481481481482E-3</v>
      </c>
      <c r="F21" s="3">
        <f t="shared" si="0"/>
        <v>2.5810185185185185E-3</v>
      </c>
      <c r="G21" s="13">
        <f t="shared" si="0"/>
        <v>2.4305555555555556E-3</v>
      </c>
      <c r="H21" s="3">
        <f t="shared" si="0"/>
        <v>2.9629629629629628E-3</v>
      </c>
      <c r="I21" s="3">
        <f t="shared" si="0"/>
        <v>4.0046296296296297E-3</v>
      </c>
      <c r="J21" s="3">
        <f t="shared" si="0"/>
        <v>4.7222222222222223E-3</v>
      </c>
      <c r="K21" s="13">
        <f>K6/86400</f>
        <v>4.31712962962963E-3</v>
      </c>
      <c r="L21" s="3">
        <f t="shared" si="0"/>
        <v>5.347222222222222E-3</v>
      </c>
      <c r="M21" s="3">
        <f t="shared" si="0"/>
        <v>7.6736111111111111E-3</v>
      </c>
      <c r="N21" s="3">
        <f t="shared" si="0"/>
        <v>9.0162037037037034E-3</v>
      </c>
    </row>
    <row r="22" spans="1:15" x14ac:dyDescent="0.25">
      <c r="A22">
        <v>100</v>
      </c>
      <c r="B22">
        <v>500</v>
      </c>
      <c r="C22" s="3">
        <f t="shared" ref="C22:N25" si="1">C7/86400</f>
        <v>1.3773148148148147E-3</v>
      </c>
      <c r="D22" s="3">
        <f t="shared" si="1"/>
        <v>1.7013888888888888E-3</v>
      </c>
      <c r="E22" s="3">
        <f t="shared" si="1"/>
        <v>2.5000000000000001E-3</v>
      </c>
      <c r="F22" s="3">
        <f t="shared" si="1"/>
        <v>2.7314814814814814E-3</v>
      </c>
      <c r="G22" s="13">
        <f t="shared" si="1"/>
        <v>2.3263888888888887E-3</v>
      </c>
      <c r="H22" s="3">
        <f t="shared" si="1"/>
        <v>3.1018518518518517E-3</v>
      </c>
      <c r="I22" s="3">
        <f t="shared" si="1"/>
        <v>5.0694444444444441E-3</v>
      </c>
      <c r="J22" s="3">
        <f t="shared" si="1"/>
        <v>5.7523148148148151E-3</v>
      </c>
      <c r="K22" s="13">
        <f t="shared" si="1"/>
        <v>4.340277777777778E-3</v>
      </c>
      <c r="L22" s="3">
        <f t="shared" si="1"/>
        <v>6.3657407407407404E-3</v>
      </c>
      <c r="M22" s="3">
        <f t="shared" si="1"/>
        <v>9.7337962962962959E-3</v>
      </c>
      <c r="N22" s="3">
        <f t="shared" si="1"/>
        <v>1.1689814814814814E-2</v>
      </c>
    </row>
    <row r="23" spans="1:15" x14ac:dyDescent="0.25">
      <c r="A23">
        <v>500</v>
      </c>
      <c r="B23">
        <v>250</v>
      </c>
      <c r="C23" s="3">
        <f t="shared" si="1"/>
        <v>2.5462962962962965E-3</v>
      </c>
      <c r="D23" s="3">
        <f t="shared" si="1"/>
        <v>3.1134259259259257E-3</v>
      </c>
      <c r="E23" s="3">
        <f t="shared" si="1"/>
        <v>3.9930555555555552E-3</v>
      </c>
      <c r="F23" s="3">
        <f t="shared" si="1"/>
        <v>4.5601851851851853E-3</v>
      </c>
      <c r="G23" s="13">
        <f t="shared" si="1"/>
        <v>4.4212962962962964E-3</v>
      </c>
      <c r="H23" s="3">
        <f t="shared" si="1"/>
        <v>5.4166666666666669E-3</v>
      </c>
      <c r="I23" s="3">
        <f t="shared" si="1"/>
        <v>7.3842592592592597E-3</v>
      </c>
      <c r="J23" s="3">
        <f t="shared" si="1"/>
        <v>8.4259259259259253E-3</v>
      </c>
      <c r="K23" s="13">
        <f t="shared" si="1"/>
        <v>8.1018518518518514E-3</v>
      </c>
      <c r="L23" s="3">
        <f t="shared" si="1"/>
        <v>9.9884259259259266E-3</v>
      </c>
      <c r="M23" s="3">
        <f t="shared" si="1"/>
        <v>1.3715277777777778E-2</v>
      </c>
      <c r="N23" s="3">
        <f t="shared" si="1"/>
        <v>1.6145833333333335E-2</v>
      </c>
    </row>
    <row r="24" spans="1:15" x14ac:dyDescent="0.25">
      <c r="A24">
        <v>500</v>
      </c>
      <c r="B24">
        <v>500</v>
      </c>
      <c r="C24" s="3">
        <f t="shared" si="1"/>
        <v>2.9050925925925928E-3</v>
      </c>
      <c r="D24" s="3">
        <f t="shared" si="1"/>
        <v>3.6921296296296298E-3</v>
      </c>
      <c r="E24" s="3">
        <f t="shared" si="1"/>
        <v>4.8495370370370368E-3</v>
      </c>
      <c r="F24" s="3">
        <f t="shared" si="1"/>
        <v>5.7638888888888887E-3</v>
      </c>
      <c r="G24" s="13">
        <f t="shared" si="1"/>
        <v>5.4629629629629629E-3</v>
      </c>
      <c r="H24" s="3">
        <f t="shared" si="1"/>
        <v>6.7824074074074071E-3</v>
      </c>
      <c r="I24" s="3">
        <f t="shared" si="1"/>
        <v>9.0509259259259258E-3</v>
      </c>
      <c r="J24" s="3">
        <f t="shared" si="1"/>
        <v>1.0937499999999999E-2</v>
      </c>
      <c r="K24" s="13">
        <f t="shared" si="1"/>
        <v>1.0381944444444444E-2</v>
      </c>
      <c r="L24" s="3">
        <f t="shared" si="1"/>
        <v>1.3159722222222222E-2</v>
      </c>
      <c r="M24" s="3">
        <f t="shared" si="1"/>
        <v>1.7407407407407406E-2</v>
      </c>
      <c r="N24" s="3">
        <f t="shared" si="1"/>
        <v>2.1157407407407406E-2</v>
      </c>
    </row>
    <row r="25" spans="1:15" x14ac:dyDescent="0.25">
      <c r="A25">
        <v>1000</v>
      </c>
      <c r="B25">
        <v>250</v>
      </c>
      <c r="C25" s="3">
        <f>C10/86400</f>
        <v>3.2986111111111111E-3</v>
      </c>
      <c r="D25" s="3">
        <f t="shared" si="1"/>
        <v>4.0393518518518521E-3</v>
      </c>
      <c r="E25" s="3">
        <f t="shared" si="1"/>
        <v>5.2314814814814811E-3</v>
      </c>
      <c r="F25" s="3">
        <f t="shared" si="1"/>
        <v>5.9143518518518521E-3</v>
      </c>
      <c r="G25" s="13">
        <f t="shared" si="1"/>
        <v>5.8449074074074072E-3</v>
      </c>
      <c r="H25" s="3">
        <f t="shared" si="1"/>
        <v>7.1527777777777779E-3</v>
      </c>
      <c r="I25" s="3">
        <f t="shared" si="1"/>
        <v>9.7569444444444448E-3</v>
      </c>
      <c r="J25" s="3">
        <f t="shared" si="1"/>
        <v>1.1030092592592593E-2</v>
      </c>
      <c r="K25" s="13">
        <f t="shared" si="1"/>
        <v>1.0960648148148148E-2</v>
      </c>
      <c r="L25" s="3">
        <f t="shared" si="1"/>
        <v>1.3564814814814814E-2</v>
      </c>
      <c r="M25" s="3">
        <f t="shared" si="1"/>
        <v>1.7615740740740741E-2</v>
      </c>
      <c r="N25" s="3">
        <f t="shared" si="1"/>
        <v>2.1168981481481483E-2</v>
      </c>
    </row>
    <row r="26" spans="1:15" x14ac:dyDescent="0.25">
      <c r="A26">
        <v>1000</v>
      </c>
      <c r="B26">
        <v>500</v>
      </c>
      <c r="C26" s="3">
        <f t="shared" ref="C26:N28" si="2">C11/86400</f>
        <v>3.8310185185185183E-3</v>
      </c>
      <c r="D26" s="3">
        <f t="shared" si="2"/>
        <v>4.8148148148148152E-3</v>
      </c>
      <c r="E26" s="3">
        <f t="shared" si="2"/>
        <v>6.3078703703703708E-3</v>
      </c>
      <c r="F26" s="3">
        <f t="shared" si="2"/>
        <v>7.4537037037037037E-3</v>
      </c>
      <c r="G26" s="13">
        <f t="shared" si="2"/>
        <v>7.1296296296296299E-3</v>
      </c>
      <c r="H26" s="3">
        <f t="shared" si="2"/>
        <v>8.9583333333333338E-3</v>
      </c>
      <c r="I26" s="3">
        <f t="shared" si="2"/>
        <v>1.1851851851851851E-2</v>
      </c>
      <c r="J26" s="3">
        <f t="shared" si="2"/>
        <v>1.4166666666666666E-2</v>
      </c>
      <c r="K26" s="13">
        <f t="shared" si="2"/>
        <v>1.3645833333333333E-2</v>
      </c>
      <c r="L26" s="3">
        <f t="shared" si="2"/>
        <v>1.7152777777777777E-2</v>
      </c>
      <c r="M26" s="3">
        <f t="shared" si="2"/>
        <v>2.2835648148148147E-2</v>
      </c>
      <c r="N26" s="3">
        <f t="shared" si="2"/>
        <v>2.736111111111111E-2</v>
      </c>
    </row>
    <row r="27" spans="1:15" x14ac:dyDescent="0.25">
      <c r="A27">
        <v>2000</v>
      </c>
      <c r="B27">
        <v>250</v>
      </c>
      <c r="C27" s="3">
        <f t="shared" si="2"/>
        <v>4.363425925925926E-3</v>
      </c>
      <c r="D27" s="3">
        <f t="shared" si="2"/>
        <v>5.3125000000000004E-3</v>
      </c>
      <c r="E27" s="3">
        <f t="shared" si="2"/>
        <v>6.8865740740740745E-3</v>
      </c>
      <c r="F27" s="3">
        <f t="shared" si="2"/>
        <v>7.7199074074074071E-3</v>
      </c>
      <c r="G27" s="13">
        <f t="shared" si="2"/>
        <v>7.8472222222222224E-3</v>
      </c>
      <c r="H27" s="3">
        <f t="shared" si="2"/>
        <v>9.5601851851851855E-3</v>
      </c>
      <c r="I27" s="3">
        <f t="shared" si="2"/>
        <v>1.2997685185185185E-2</v>
      </c>
      <c r="J27" s="3">
        <f t="shared" si="2"/>
        <v>1.4513888888888889E-2</v>
      </c>
      <c r="K27" s="13">
        <f t="shared" si="2"/>
        <v>1.5057870370370371E-2</v>
      </c>
      <c r="L27" s="3">
        <f t="shared" si="2"/>
        <v>1.7997685185185186E-2</v>
      </c>
      <c r="M27" s="3">
        <f t="shared" si="2"/>
        <v>2.5046296296296296E-2</v>
      </c>
      <c r="N27" s="3">
        <f t="shared" si="2"/>
        <v>2.792824074074074E-2</v>
      </c>
    </row>
    <row r="28" spans="1:15" x14ac:dyDescent="0.25">
      <c r="A28">
        <v>2000</v>
      </c>
      <c r="B28">
        <v>500</v>
      </c>
      <c r="C28" s="3">
        <f t="shared" si="2"/>
        <v>4.9074074074074072E-3</v>
      </c>
      <c r="D28" s="3">
        <f t="shared" si="2"/>
        <v>6.3078703703703708E-3</v>
      </c>
      <c r="E28" s="3">
        <f t="shared" si="2"/>
        <v>8.2523148148148148E-3</v>
      </c>
      <c r="F28" s="3">
        <f t="shared" si="2"/>
        <v>9.6990740740740735E-3</v>
      </c>
      <c r="G28" s="13">
        <f t="shared" si="2"/>
        <v>9.2245370370370363E-3</v>
      </c>
      <c r="H28" s="3">
        <f t="shared" si="2"/>
        <v>1.1851851851851851E-2</v>
      </c>
      <c r="I28" s="3">
        <f t="shared" si="2"/>
        <v>1.5625E-2</v>
      </c>
      <c r="J28" s="3">
        <f t="shared" si="2"/>
        <v>1.8425925925925925E-2</v>
      </c>
      <c r="K28" s="13">
        <f t="shared" si="2"/>
        <v>2.2847222222222224E-2</v>
      </c>
      <c r="L28" s="3">
        <f t="shared" si="2"/>
        <v>2.2847222222222224E-2</v>
      </c>
      <c r="M28" s="3">
        <f t="shared" si="2"/>
        <v>3.0127314814814815E-2</v>
      </c>
      <c r="N28" s="3">
        <f>N13/86400</f>
        <v>3.5613425925925923E-2</v>
      </c>
    </row>
    <row r="32" spans="1:15" x14ac:dyDescent="0.25">
      <c r="C32">
        <v>100</v>
      </c>
      <c r="D32">
        <v>3</v>
      </c>
      <c r="E32">
        <v>250</v>
      </c>
      <c r="F32">
        <v>300</v>
      </c>
      <c r="L32" s="3"/>
    </row>
    <row r="33" spans="3:13" x14ac:dyDescent="0.25">
      <c r="C33">
        <v>500</v>
      </c>
      <c r="D33">
        <v>5</v>
      </c>
      <c r="E33">
        <v>500</v>
      </c>
      <c r="F33">
        <v>150</v>
      </c>
      <c r="M33" s="3"/>
    </row>
    <row r="34" spans="3:13" x14ac:dyDescent="0.25">
      <c r="C34">
        <v>1000</v>
      </c>
      <c r="D34">
        <v>10</v>
      </c>
      <c r="F34">
        <v>75</v>
      </c>
    </row>
    <row r="35" spans="3:13" x14ac:dyDescent="0.25">
      <c r="C35">
        <v>2000</v>
      </c>
      <c r="D35">
        <v>15</v>
      </c>
    </row>
  </sheetData>
  <mergeCells count="20">
    <mergeCell ref="A1:N1"/>
    <mergeCell ref="A2:A4"/>
    <mergeCell ref="B2:B4"/>
    <mergeCell ref="C2:N2"/>
    <mergeCell ref="C3:F3"/>
    <mergeCell ref="G3:J3"/>
    <mergeCell ref="K3:N3"/>
    <mergeCell ref="C4:F4"/>
    <mergeCell ref="G4:J4"/>
    <mergeCell ref="K4:N4"/>
    <mergeCell ref="A16:N16"/>
    <mergeCell ref="A17:A19"/>
    <mergeCell ref="B17:B19"/>
    <mergeCell ref="C17:N17"/>
    <mergeCell ref="C18:F18"/>
    <mergeCell ref="G18:J18"/>
    <mergeCell ref="K18:N18"/>
    <mergeCell ref="C19:F19"/>
    <mergeCell ref="G19:J19"/>
    <mergeCell ref="K19:N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2" zoomScale="80" zoomScaleNormal="80" workbookViewId="0">
      <selection activeCell="B1" sqref="B1:H1"/>
    </sheetView>
  </sheetViews>
  <sheetFormatPr defaultRowHeight="15" x14ac:dyDescent="0.25"/>
  <cols>
    <col min="2" max="2" width="33.5703125" customWidth="1"/>
    <col min="3" max="3" width="41.85546875" customWidth="1"/>
    <col min="4" max="4" width="19" customWidth="1"/>
    <col min="5" max="6" width="25.7109375" customWidth="1"/>
  </cols>
  <sheetData>
    <row r="1" spans="1:14" ht="27" customHeight="1" thickBot="1" x14ac:dyDescent="0.3">
      <c r="A1" s="9" t="s">
        <v>55</v>
      </c>
      <c r="B1" s="10" t="s">
        <v>37</v>
      </c>
      <c r="C1" s="10" t="s">
        <v>12</v>
      </c>
      <c r="D1" s="10" t="s">
        <v>33</v>
      </c>
      <c r="E1" s="10" t="s">
        <v>34</v>
      </c>
      <c r="F1" s="10" t="s">
        <v>35</v>
      </c>
    </row>
    <row r="2" spans="1:14" x14ac:dyDescent="0.25">
      <c r="A2">
        <v>1</v>
      </c>
      <c r="B2" t="s">
        <v>14</v>
      </c>
      <c r="C2" s="2" t="s">
        <v>13</v>
      </c>
      <c r="D2" s="2">
        <v>5</v>
      </c>
      <c r="E2" s="8">
        <v>15</v>
      </c>
      <c r="F2" s="91">
        <v>23.2</v>
      </c>
      <c r="G2" s="2"/>
      <c r="H2" s="2"/>
      <c r="I2" s="2"/>
      <c r="J2" s="2"/>
      <c r="K2" s="2"/>
      <c r="L2" s="2"/>
      <c r="M2" s="2"/>
      <c r="N2" s="2"/>
    </row>
    <row r="3" spans="1:14" x14ac:dyDescent="0.25">
      <c r="C3" s="2" t="s">
        <v>15</v>
      </c>
      <c r="D3" s="2">
        <v>8</v>
      </c>
      <c r="E3" s="8">
        <v>15</v>
      </c>
      <c r="F3" s="91">
        <v>26.2</v>
      </c>
      <c r="G3" s="2"/>
      <c r="H3" s="2"/>
      <c r="I3" s="2"/>
      <c r="J3" s="2"/>
      <c r="K3" s="2"/>
      <c r="L3" s="2"/>
      <c r="M3" s="2"/>
      <c r="N3" s="2"/>
    </row>
    <row r="4" spans="1:14" x14ac:dyDescent="0.25">
      <c r="C4" s="2" t="s">
        <v>16</v>
      </c>
      <c r="D4" s="2">
        <v>8</v>
      </c>
      <c r="E4" s="8">
        <v>15</v>
      </c>
      <c r="F4" s="91">
        <v>26.2</v>
      </c>
      <c r="G4" s="2"/>
      <c r="H4" s="2"/>
      <c r="I4" s="2"/>
      <c r="J4" s="2"/>
      <c r="K4" s="2"/>
      <c r="L4" s="2"/>
      <c r="M4" s="2"/>
      <c r="N4" s="2"/>
    </row>
    <row r="5" spans="1:14" x14ac:dyDescent="0.25">
      <c r="C5" s="2" t="s">
        <v>17</v>
      </c>
      <c r="D5" s="2">
        <v>8</v>
      </c>
      <c r="E5" s="8">
        <v>15</v>
      </c>
      <c r="F5" s="91">
        <v>26.2</v>
      </c>
      <c r="G5" s="2"/>
      <c r="H5" s="2"/>
      <c r="I5" s="2"/>
      <c r="J5" s="2"/>
      <c r="K5" s="2"/>
      <c r="L5" s="2"/>
      <c r="M5" s="2"/>
      <c r="N5" s="2"/>
    </row>
    <row r="6" spans="1:14" x14ac:dyDescent="0.25">
      <c r="C6" s="2" t="s">
        <v>18</v>
      </c>
      <c r="D6" s="2">
        <v>10</v>
      </c>
      <c r="E6" s="8">
        <v>15</v>
      </c>
      <c r="F6" s="91">
        <v>28.2</v>
      </c>
      <c r="G6" s="2"/>
      <c r="H6" s="2"/>
      <c r="I6" s="2"/>
      <c r="J6" s="2"/>
      <c r="K6" s="2"/>
      <c r="L6" s="2"/>
      <c r="M6" s="2"/>
      <c r="N6" s="2"/>
    </row>
    <row r="7" spans="1:14" x14ac:dyDescent="0.25">
      <c r="C7" s="2" t="s">
        <v>19</v>
      </c>
      <c r="D7" s="2">
        <v>10</v>
      </c>
      <c r="E7" s="8">
        <v>15</v>
      </c>
      <c r="F7" s="91">
        <v>28.2</v>
      </c>
      <c r="G7" s="2"/>
      <c r="H7" s="2"/>
      <c r="I7" s="2"/>
      <c r="J7" s="2"/>
      <c r="K7" s="2"/>
      <c r="L7" s="2"/>
      <c r="M7" s="2"/>
      <c r="N7" s="2"/>
    </row>
    <row r="8" spans="1:14" x14ac:dyDescent="0.25">
      <c r="C8" s="2" t="s">
        <v>20</v>
      </c>
      <c r="D8" s="2">
        <v>10</v>
      </c>
      <c r="E8" s="8">
        <v>15</v>
      </c>
      <c r="F8" s="91">
        <v>28.2</v>
      </c>
      <c r="G8" s="2"/>
      <c r="H8" s="2"/>
      <c r="I8" s="2"/>
      <c r="J8" s="2"/>
      <c r="K8" s="2"/>
      <c r="L8" s="2"/>
      <c r="M8" s="2"/>
      <c r="N8" s="2"/>
    </row>
    <row r="9" spans="1:14" x14ac:dyDescent="0.25">
      <c r="C9" s="2" t="s">
        <v>21</v>
      </c>
      <c r="D9" s="2">
        <v>10</v>
      </c>
      <c r="E9" s="8">
        <v>15</v>
      </c>
      <c r="F9" s="91">
        <v>28.2</v>
      </c>
      <c r="G9" s="2"/>
      <c r="H9" s="2"/>
      <c r="I9" s="2"/>
      <c r="J9" s="2"/>
      <c r="K9" s="2"/>
      <c r="L9" s="2"/>
      <c r="M9" s="2"/>
      <c r="N9" s="2"/>
    </row>
    <row r="10" spans="1:14" x14ac:dyDescent="0.25">
      <c r="A10">
        <v>2</v>
      </c>
      <c r="B10" t="s">
        <v>22</v>
      </c>
      <c r="C10" s="2" t="s">
        <v>23</v>
      </c>
      <c r="D10" s="2">
        <v>8</v>
      </c>
      <c r="E10" s="8">
        <v>1</v>
      </c>
      <c r="F10" s="91">
        <v>14.6</v>
      </c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>
        <v>3</v>
      </c>
      <c r="B11" t="s">
        <v>24</v>
      </c>
      <c r="C11" s="2" t="s">
        <v>25</v>
      </c>
      <c r="D11" s="2">
        <v>5</v>
      </c>
      <c r="E11" s="8">
        <v>1</v>
      </c>
      <c r="F11" s="91">
        <v>11.6</v>
      </c>
      <c r="G11" s="2"/>
      <c r="H11" s="2"/>
      <c r="I11" s="2"/>
      <c r="J11" s="2"/>
      <c r="K11" s="2"/>
      <c r="L11" s="2"/>
      <c r="M11" s="2"/>
      <c r="N11" s="2"/>
    </row>
    <row r="12" spans="1:14" x14ac:dyDescent="0.25">
      <c r="C12" s="2" t="s">
        <v>26</v>
      </c>
      <c r="D12" s="2">
        <v>8</v>
      </c>
      <c r="E12" s="8">
        <v>1</v>
      </c>
      <c r="F12" s="91">
        <v>14.6</v>
      </c>
      <c r="G12" s="2"/>
      <c r="H12" s="2"/>
      <c r="I12" s="2"/>
      <c r="J12" s="2"/>
      <c r="K12" s="2"/>
      <c r="L12" s="2"/>
      <c r="M12" s="2"/>
      <c r="N12" s="2"/>
    </row>
    <row r="13" spans="1:14" x14ac:dyDescent="0.25">
      <c r="C13" s="2" t="s">
        <v>27</v>
      </c>
      <c r="D13" s="2">
        <v>8</v>
      </c>
      <c r="E13" s="8">
        <v>1</v>
      </c>
      <c r="F13" s="91">
        <v>14.6</v>
      </c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>
        <v>4</v>
      </c>
      <c r="B14" t="s">
        <v>28</v>
      </c>
      <c r="C14" s="2" t="s">
        <v>29</v>
      </c>
      <c r="D14" s="2">
        <v>5</v>
      </c>
      <c r="E14" s="8">
        <v>15</v>
      </c>
      <c r="F14" s="91">
        <v>23.2</v>
      </c>
      <c r="G14" s="2"/>
      <c r="H14" s="2"/>
      <c r="I14" s="2"/>
      <c r="J14" s="2"/>
      <c r="K14" s="2"/>
      <c r="L14" s="2"/>
      <c r="M14" s="2"/>
      <c r="N14" s="2"/>
    </row>
    <row r="15" spans="1:14" x14ac:dyDescent="0.25">
      <c r="C15" s="2" t="s">
        <v>30</v>
      </c>
      <c r="D15" s="2">
        <v>6</v>
      </c>
      <c r="E15" s="8">
        <v>15</v>
      </c>
      <c r="F15" s="91">
        <v>24.2</v>
      </c>
      <c r="G15" s="2"/>
      <c r="H15" s="2"/>
      <c r="I15" s="2"/>
      <c r="J15" s="2"/>
      <c r="K15" s="2"/>
      <c r="L15" s="2"/>
      <c r="M15" s="2"/>
      <c r="N15" s="2"/>
    </row>
    <row r="16" spans="1:14" x14ac:dyDescent="0.25">
      <c r="C16" s="2" t="s">
        <v>31</v>
      </c>
      <c r="D16" s="2">
        <v>6</v>
      </c>
      <c r="E16" s="8">
        <v>15</v>
      </c>
      <c r="F16" s="91">
        <v>24.2</v>
      </c>
      <c r="G16" s="2"/>
      <c r="H16" s="2"/>
      <c r="I16" s="2"/>
      <c r="J16" s="2"/>
      <c r="K16" s="2"/>
      <c r="L16" s="2"/>
      <c r="M16" s="2"/>
      <c r="N16" s="2"/>
    </row>
    <row r="17" spans="2:14" x14ac:dyDescent="0.25">
      <c r="C17" s="2" t="s">
        <v>32</v>
      </c>
      <c r="D17" s="2">
        <v>8</v>
      </c>
      <c r="E17" s="8">
        <v>15</v>
      </c>
      <c r="F17" s="91">
        <v>26.2</v>
      </c>
      <c r="G17" s="2"/>
      <c r="H17" s="2"/>
      <c r="I17" s="2"/>
      <c r="J17" s="2"/>
      <c r="K17" s="2"/>
      <c r="L17" s="2"/>
      <c r="M17" s="2"/>
      <c r="N17" s="2"/>
    </row>
    <row r="18" spans="2:14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20" spans="2:14" ht="15.75" thickBot="1" x14ac:dyDescent="0.3"/>
    <row r="21" spans="2:14" x14ac:dyDescent="0.25">
      <c r="B21" s="109" t="s">
        <v>37</v>
      </c>
      <c r="C21" s="109" t="s">
        <v>38</v>
      </c>
      <c r="D21" s="109"/>
      <c r="E21" s="109" t="s">
        <v>39</v>
      </c>
      <c r="F21" s="109"/>
    </row>
    <row r="22" spans="2:14" ht="15.75" thickBot="1" x14ac:dyDescent="0.3">
      <c r="B22" s="110"/>
      <c r="C22" s="9" t="s">
        <v>40</v>
      </c>
      <c r="D22" s="9" t="s">
        <v>4</v>
      </c>
      <c r="E22" s="9" t="s">
        <v>41</v>
      </c>
      <c r="F22" s="9" t="s">
        <v>42</v>
      </c>
    </row>
    <row r="23" spans="2:14" x14ac:dyDescent="0.25">
      <c r="B23" s="4" t="s">
        <v>43</v>
      </c>
      <c r="C23" s="5">
        <v>100</v>
      </c>
      <c r="D23" s="5">
        <v>3</v>
      </c>
      <c r="E23" s="5">
        <v>250</v>
      </c>
      <c r="F23" s="5">
        <v>300</v>
      </c>
    </row>
    <row r="24" spans="2:14" x14ac:dyDescent="0.25">
      <c r="B24" s="4" t="s">
        <v>44</v>
      </c>
      <c r="C24" s="5">
        <v>1000</v>
      </c>
      <c r="D24" s="5">
        <v>3</v>
      </c>
      <c r="E24" s="5" t="s">
        <v>45</v>
      </c>
      <c r="F24" s="5" t="s">
        <v>46</v>
      </c>
    </row>
    <row r="25" spans="2:14" x14ac:dyDescent="0.25">
      <c r="B25" s="4" t="s">
        <v>47</v>
      </c>
      <c r="C25" s="5">
        <v>500</v>
      </c>
      <c r="D25" s="5">
        <v>3</v>
      </c>
      <c r="E25" s="5">
        <v>250</v>
      </c>
      <c r="F25" s="5">
        <v>300</v>
      </c>
    </row>
    <row r="26" spans="2:14" x14ac:dyDescent="0.25">
      <c r="B26" s="4" t="s">
        <v>48</v>
      </c>
      <c r="C26" s="5">
        <v>1000</v>
      </c>
      <c r="D26" s="5">
        <v>3</v>
      </c>
      <c r="E26" s="5">
        <v>250</v>
      </c>
      <c r="F26" s="5">
        <v>300</v>
      </c>
    </row>
    <row r="27" spans="2:14" x14ac:dyDescent="0.25">
      <c r="B27" s="4" t="s">
        <v>49</v>
      </c>
      <c r="C27" s="5" t="s">
        <v>50</v>
      </c>
      <c r="D27" s="5" t="s">
        <v>110</v>
      </c>
      <c r="E27" s="5" t="s">
        <v>51</v>
      </c>
      <c r="F27" s="5" t="s">
        <v>52</v>
      </c>
    </row>
    <row r="28" spans="2:14" x14ac:dyDescent="0.25">
      <c r="B28" s="4" t="s">
        <v>17</v>
      </c>
      <c r="C28" s="5">
        <v>1000</v>
      </c>
      <c r="D28" s="5">
        <v>3</v>
      </c>
      <c r="E28" s="5">
        <v>250</v>
      </c>
      <c r="F28" s="5">
        <v>300</v>
      </c>
    </row>
    <row r="29" spans="2:14" x14ac:dyDescent="0.25">
      <c r="B29" s="4" t="s">
        <v>23</v>
      </c>
      <c r="C29" s="5">
        <v>500</v>
      </c>
      <c r="D29" s="5">
        <v>3</v>
      </c>
      <c r="E29" s="5">
        <v>250</v>
      </c>
      <c r="F29" s="5">
        <v>300</v>
      </c>
    </row>
    <row r="30" spans="2:14" x14ac:dyDescent="0.25">
      <c r="B30" s="4" t="s">
        <v>53</v>
      </c>
      <c r="C30" s="5">
        <v>1000</v>
      </c>
      <c r="D30" s="5">
        <v>3</v>
      </c>
      <c r="E30" s="5">
        <v>250</v>
      </c>
      <c r="F30" s="5">
        <v>300</v>
      </c>
    </row>
    <row r="31" spans="2:14" ht="15.75" thickBot="1" x14ac:dyDescent="0.3">
      <c r="B31" s="6" t="s">
        <v>54</v>
      </c>
      <c r="C31" s="7">
        <v>1000</v>
      </c>
      <c r="D31" s="7">
        <v>5</v>
      </c>
      <c r="E31" s="7" t="s">
        <v>45</v>
      </c>
      <c r="F31" s="7">
        <v>150</v>
      </c>
    </row>
  </sheetData>
  <mergeCells count="3">
    <mergeCell ref="B21:B22"/>
    <mergeCell ref="C21:D21"/>
    <mergeCell ref="E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70" zoomScaleNormal="70" workbookViewId="0">
      <selection activeCell="B1" sqref="B1:H1"/>
    </sheetView>
  </sheetViews>
  <sheetFormatPr defaultRowHeight="15" x14ac:dyDescent="0.25"/>
  <cols>
    <col min="1" max="1" width="9.140625" customWidth="1"/>
    <col min="2" max="2" width="25.85546875" customWidth="1"/>
    <col min="4" max="4" width="11.7109375" customWidth="1"/>
  </cols>
  <sheetData>
    <row r="1" spans="1:17" ht="15.75" x14ac:dyDescent="0.25">
      <c r="A1" s="15"/>
      <c r="B1" s="16" t="s">
        <v>59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.75" x14ac:dyDescent="0.25">
      <c r="A2" s="16"/>
      <c r="B2" s="16" t="s">
        <v>60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5.75" x14ac:dyDescent="0.25">
      <c r="A4" s="16"/>
      <c r="B4" s="16" t="s">
        <v>61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6.5" thickBo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17"/>
      <c r="B6" s="17"/>
      <c r="C6" s="17"/>
      <c r="D6" s="18" t="s">
        <v>62</v>
      </c>
      <c r="E6" s="17"/>
      <c r="F6" s="111" t="s">
        <v>63</v>
      </c>
      <c r="G6" s="112"/>
      <c r="H6" s="112"/>
      <c r="I6" s="113"/>
      <c r="J6" s="17"/>
      <c r="K6" s="111" t="s">
        <v>64</v>
      </c>
      <c r="L6" s="112"/>
      <c r="M6" s="113"/>
      <c r="N6" s="17"/>
      <c r="O6" s="17"/>
      <c r="P6" s="17"/>
      <c r="Q6" s="17"/>
    </row>
    <row r="7" spans="1:17" x14ac:dyDescent="0.25">
      <c r="A7" s="19"/>
      <c r="B7" s="20"/>
      <c r="C7" s="19"/>
      <c r="D7" s="21"/>
      <c r="E7" s="19"/>
      <c r="F7" s="22"/>
      <c r="G7" s="23"/>
      <c r="H7" s="23"/>
      <c r="I7" s="24"/>
      <c r="J7" s="19"/>
      <c r="K7" s="22"/>
      <c r="L7" s="23"/>
      <c r="M7" s="24"/>
      <c r="N7" s="19"/>
      <c r="O7" s="19"/>
      <c r="P7" s="19"/>
      <c r="Q7" s="19"/>
    </row>
    <row r="8" spans="1:17" x14ac:dyDescent="0.25">
      <c r="A8" s="17"/>
      <c r="B8" s="17" t="s">
        <v>65</v>
      </c>
      <c r="C8" s="17"/>
      <c r="D8" s="25" t="s">
        <v>66</v>
      </c>
      <c r="E8" s="17"/>
      <c r="F8" s="26" t="s">
        <v>67</v>
      </c>
      <c r="G8" s="27" t="s">
        <v>68</v>
      </c>
      <c r="H8" s="27" t="s">
        <v>69</v>
      </c>
      <c r="I8" s="28" t="s">
        <v>70</v>
      </c>
      <c r="J8" s="19"/>
      <c r="K8" s="26" t="s">
        <v>71</v>
      </c>
      <c r="L8" s="29" t="s">
        <v>72</v>
      </c>
      <c r="M8" s="28" t="s">
        <v>73</v>
      </c>
      <c r="N8" s="17"/>
      <c r="O8" s="17"/>
      <c r="P8" s="17"/>
      <c r="Q8" s="17"/>
    </row>
    <row r="9" spans="1:17" ht="15.75" thickBot="1" x14ac:dyDescent="0.3">
      <c r="A9" s="17"/>
      <c r="B9" s="17"/>
      <c r="C9" s="17"/>
      <c r="D9" s="30" t="s">
        <v>74</v>
      </c>
      <c r="E9" s="17"/>
      <c r="F9" s="31" t="s">
        <v>75</v>
      </c>
      <c r="G9" s="32" t="s">
        <v>76</v>
      </c>
      <c r="H9" s="32" t="s">
        <v>77</v>
      </c>
      <c r="I9" s="33" t="s">
        <v>78</v>
      </c>
      <c r="J9" s="19"/>
      <c r="K9" s="31"/>
      <c r="L9" s="32"/>
      <c r="M9" s="33"/>
      <c r="N9" s="17"/>
      <c r="O9" s="17"/>
      <c r="P9" s="17"/>
      <c r="Q9" s="17"/>
    </row>
    <row r="10" spans="1:17" x14ac:dyDescent="0.25">
      <c r="A10" s="17" t="s">
        <v>79</v>
      </c>
      <c r="B10" t="s">
        <v>80</v>
      </c>
      <c r="C10" t="s">
        <v>36</v>
      </c>
      <c r="D10" s="34">
        <f>IF(Toolbox!O13=1,10,IF(Toolbox!O13=2,10,IF(Toolbox!O13=3,10,IF(Toolbox!O13=4,10,IF(Toolbox!O13=5,10,IF(Toolbox!O13=6,10,IF(Toolbox!O13=7,10,IF(Toolbox!O13=8,10,IF(Toolbox!O13=9,1,IF(Toolbox!O13=10,1,IF(Toolbox!O13=11,1,IF(Toolbox!O13=12,1,IF(Toolbox!O13=13,10,IF(Toolbox!O13=14,10,IF(Toolbox!O13=15,10,IF(Toolbox!O13=16,10,))))))))))))))))</f>
        <v>10</v>
      </c>
      <c r="F10" s="35">
        <f>(H10-D10)/D10</f>
        <v>0.5</v>
      </c>
      <c r="G10" s="36">
        <f>F10/0.841*D10</f>
        <v>5.9453032104637336</v>
      </c>
      <c r="H10" s="11">
        <f>IF(D10=10,15,1)</f>
        <v>15</v>
      </c>
      <c r="I10" s="37">
        <f>+$D$14-$D10+$H10</f>
        <v>22</v>
      </c>
      <c r="K10" s="35">
        <f>IF(H10=1,0,(I10-$D$14)/(H10-$D10))</f>
        <v>1</v>
      </c>
      <c r="L10" s="38">
        <f>K10*G10</f>
        <v>5.9453032104637336</v>
      </c>
      <c r="M10" s="39">
        <f>L10^2</f>
        <v>35.346630264350374</v>
      </c>
    </row>
    <row r="11" spans="1:17" x14ac:dyDescent="0.25">
      <c r="A11" s="17" t="s">
        <v>81</v>
      </c>
      <c r="B11" t="s">
        <v>96</v>
      </c>
      <c r="C11" t="s">
        <v>36</v>
      </c>
      <c r="D11" s="34">
        <f>IF(Toolbox!O13=1,2,IF(Toolbox!O13=2,5,IF(Toolbox!O13=3,5,IF(Toolbox!O13=4,5,IF(Toolbox!O13=5,7,IF(Toolbox!O13=6,7,IF(Toolbox!O13=7,7,IF(Toolbox!O13=8,7,IF(Toolbox!O13=9,5,IF(Toolbox!O13=10,2,IF(Toolbox!O13=11,5,IF(Toolbox!O13=12,5,IF(Toolbox!O13=13,2,IF(Toolbox!O13=14,3,IF(Toolbox!O13=15,3,IF(Toolbox!O13=16,5,))))))))))))))))</f>
        <v>2</v>
      </c>
      <c r="F11" s="35">
        <f t="shared" ref="F11:F12" si="0">(H11-D11)/D11</f>
        <v>1.5</v>
      </c>
      <c r="G11" s="36">
        <f>F11/0.841*D11</f>
        <v>3.5671819262782405</v>
      </c>
      <c r="H11" s="11">
        <f>IF(D11=2,5,IF(D11=3,6,IF(D11=5,8,IF(D11=7,10))))</f>
        <v>5</v>
      </c>
      <c r="I11" s="37">
        <f>+$D$14-$D11+$H11</f>
        <v>20</v>
      </c>
      <c r="K11" s="35">
        <f>(I11-$D$14)/(H11-$D11)</f>
        <v>1</v>
      </c>
      <c r="L11" s="38">
        <f>K11*G11</f>
        <v>3.5671819262782405</v>
      </c>
      <c r="M11" s="39">
        <f>L11^2</f>
        <v>12.724786895166138</v>
      </c>
    </row>
    <row r="12" spans="1:17" x14ac:dyDescent="0.25">
      <c r="A12" s="17" t="s">
        <v>82</v>
      </c>
      <c r="B12" t="s">
        <v>83</v>
      </c>
      <c r="C12" t="s">
        <v>36</v>
      </c>
      <c r="D12" s="34">
        <v>5</v>
      </c>
      <c r="F12" s="35">
        <f t="shared" si="0"/>
        <v>0.4</v>
      </c>
      <c r="G12" s="36">
        <f t="shared" ref="G12" si="1">F12/0.841*D12</f>
        <v>2.378121284185494</v>
      </c>
      <c r="H12" s="11">
        <v>7</v>
      </c>
      <c r="I12" s="37">
        <f>+$D$14-$D12+$H12</f>
        <v>19</v>
      </c>
      <c r="K12" s="35">
        <f>(I12-$D$14)/(H12-$D12)</f>
        <v>1</v>
      </c>
      <c r="L12" s="38">
        <f>K12*G12</f>
        <v>2.378121284185494</v>
      </c>
      <c r="M12" s="39">
        <f>L12^2</f>
        <v>5.6554608422960628</v>
      </c>
    </row>
    <row r="13" spans="1:17" ht="15.75" thickBot="1" x14ac:dyDescent="0.3">
      <c r="A13" s="17"/>
      <c r="D13" s="40"/>
      <c r="F13" s="41"/>
      <c r="G13" s="42"/>
      <c r="H13" s="43"/>
      <c r="I13" s="44"/>
      <c r="K13" s="41"/>
      <c r="L13" s="45"/>
      <c r="M13" s="46"/>
    </row>
    <row r="14" spans="1:17" x14ac:dyDescent="0.25">
      <c r="A14" s="17" t="s">
        <v>70</v>
      </c>
      <c r="B14" t="s">
        <v>92</v>
      </c>
      <c r="C14" t="s">
        <v>36</v>
      </c>
      <c r="D14" s="47">
        <f>SUM(D10:D13)</f>
        <v>17</v>
      </c>
      <c r="F14" s="48"/>
      <c r="G14" s="49"/>
      <c r="H14" s="49"/>
      <c r="I14" s="50">
        <f>D14</f>
        <v>17</v>
      </c>
      <c r="K14" s="48"/>
      <c r="L14" s="51" t="s">
        <v>84</v>
      </c>
      <c r="M14" s="52">
        <f>SUM(M10:M12)</f>
        <v>53.72687800181258</v>
      </c>
    </row>
    <row r="15" spans="1:17" ht="15.75" thickBot="1" x14ac:dyDescent="0.3">
      <c r="A15" s="17"/>
      <c r="D15" s="40"/>
      <c r="F15" s="41"/>
      <c r="G15" s="53"/>
      <c r="H15" s="53"/>
      <c r="I15" s="54"/>
      <c r="K15" s="41"/>
      <c r="L15" s="55" t="s">
        <v>85</v>
      </c>
      <c r="M15" s="56">
        <f>SQRT(M14)</f>
        <v>7.3298620724958106</v>
      </c>
    </row>
    <row r="16" spans="1:17" ht="15.75" thickBot="1" x14ac:dyDescent="0.3">
      <c r="A16" s="17"/>
      <c r="L16" s="57"/>
    </row>
    <row r="17" spans="1:17" ht="15.75" thickBot="1" x14ac:dyDescent="0.3">
      <c r="A17" s="17" t="s">
        <v>86</v>
      </c>
      <c r="B17" t="s">
        <v>87</v>
      </c>
      <c r="C17" t="s">
        <v>88</v>
      </c>
      <c r="D17" s="58">
        <f>$D$14+$M$15*0.841</f>
        <v>23.164414002968975</v>
      </c>
      <c r="L17" s="57"/>
    </row>
    <row r="18" spans="1:17" x14ac:dyDescent="0.25">
      <c r="A18" s="17"/>
      <c r="L18" s="57"/>
    </row>
    <row r="19" spans="1:17" ht="15.75" thickBot="1" x14ac:dyDescent="0.3">
      <c r="A19" s="17"/>
      <c r="L19" s="57"/>
      <c r="O19" t="s">
        <v>94</v>
      </c>
    </row>
    <row r="20" spans="1:17" x14ac:dyDescent="0.25">
      <c r="A20" s="59"/>
      <c r="B20" s="111" t="s">
        <v>89</v>
      </c>
      <c r="C20" s="112"/>
      <c r="D20" s="113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60"/>
      <c r="B21" s="61"/>
      <c r="C21" s="62"/>
      <c r="D21" s="63"/>
    </row>
    <row r="22" spans="1:17" ht="15.75" thickBot="1" x14ac:dyDescent="0.3">
      <c r="A22" s="64" t="s">
        <v>78</v>
      </c>
      <c r="B22" s="65" t="s">
        <v>90</v>
      </c>
      <c r="C22" s="32"/>
      <c r="D22" s="66" t="s">
        <v>91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67"/>
      <c r="B23" s="68"/>
      <c r="C23" s="69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x14ac:dyDescent="0.25">
      <c r="A24" s="60">
        <v>0</v>
      </c>
      <c r="B24" s="72">
        <f t="shared" ref="B24:B34" si="2">(A24-$D$14)/$M$15</f>
        <v>-2.3192796579065118</v>
      </c>
      <c r="C24" s="11"/>
      <c r="D24" s="73">
        <f t="shared" ref="D24:D34" si="3">NORMDIST(B24,0,1,1)</f>
        <v>1.0189938841430426E-2</v>
      </c>
    </row>
    <row r="25" spans="1:17" x14ac:dyDescent="0.25">
      <c r="A25" s="60">
        <v>5</v>
      </c>
      <c r="B25" s="72">
        <f t="shared" si="2"/>
        <v>-1.6371385820516555</v>
      </c>
      <c r="C25" s="11"/>
      <c r="D25" s="73">
        <f t="shared" si="3"/>
        <v>5.0800758290870877E-2</v>
      </c>
    </row>
    <row r="26" spans="1:17" x14ac:dyDescent="0.25">
      <c r="A26" s="60">
        <v>10</v>
      </c>
      <c r="B26" s="72">
        <f t="shared" si="2"/>
        <v>-0.95499750619679902</v>
      </c>
      <c r="C26" s="11"/>
      <c r="D26" s="73">
        <f t="shared" si="3"/>
        <v>0.16978947904413619</v>
      </c>
    </row>
    <row r="27" spans="1:17" x14ac:dyDescent="0.25">
      <c r="A27" s="60">
        <v>15</v>
      </c>
      <c r="B27" s="72">
        <f t="shared" si="2"/>
        <v>-0.27285643034194257</v>
      </c>
      <c r="C27" s="11"/>
      <c r="D27" s="73">
        <f t="shared" si="3"/>
        <v>0.39248178979176157</v>
      </c>
    </row>
    <row r="28" spans="1:17" x14ac:dyDescent="0.25">
      <c r="A28" s="60">
        <v>20</v>
      </c>
      <c r="B28" s="72">
        <f t="shared" si="2"/>
        <v>0.40928464551291388</v>
      </c>
      <c r="C28" s="11"/>
      <c r="D28" s="73">
        <f t="shared" si="3"/>
        <v>0.6588346088610374</v>
      </c>
    </row>
    <row r="29" spans="1:17" x14ac:dyDescent="0.25">
      <c r="A29" s="74">
        <v>25</v>
      </c>
      <c r="B29" s="72">
        <f t="shared" si="2"/>
        <v>1.0914257213677703</v>
      </c>
      <c r="C29" s="11"/>
      <c r="D29" s="73">
        <f t="shared" si="3"/>
        <v>0.86245720021607353</v>
      </c>
    </row>
    <row r="30" spans="1:17" x14ac:dyDescent="0.25">
      <c r="A30" s="74">
        <v>30</v>
      </c>
      <c r="B30" s="75">
        <f t="shared" si="2"/>
        <v>1.7735667972226268</v>
      </c>
      <c r="C30" s="76"/>
      <c r="D30" s="77">
        <f t="shared" si="3"/>
        <v>0.96193258308665297</v>
      </c>
    </row>
    <row r="31" spans="1:17" x14ac:dyDescent="0.25">
      <c r="A31" s="60">
        <v>35</v>
      </c>
      <c r="B31" s="72">
        <f t="shared" si="2"/>
        <v>2.4557078730774831</v>
      </c>
      <c r="C31" s="11"/>
      <c r="D31" s="73">
        <f t="shared" si="3"/>
        <v>0.99296962972079039</v>
      </c>
    </row>
    <row r="32" spans="1:17" x14ac:dyDescent="0.25">
      <c r="A32" s="60">
        <v>40</v>
      </c>
      <c r="B32" s="72">
        <f t="shared" si="2"/>
        <v>3.1378489489323398</v>
      </c>
      <c r="C32" s="11"/>
      <c r="D32" s="73">
        <f t="shared" si="3"/>
        <v>0.99914903720725912</v>
      </c>
    </row>
    <row r="33" spans="1:9" x14ac:dyDescent="0.25">
      <c r="A33" s="60">
        <v>45</v>
      </c>
      <c r="B33" s="72">
        <f t="shared" si="2"/>
        <v>3.8199900247871961</v>
      </c>
      <c r="C33" s="11"/>
      <c r="D33" s="73">
        <f t="shared" si="3"/>
        <v>0.99993327146435418</v>
      </c>
    </row>
    <row r="34" spans="1:9" x14ac:dyDescent="0.25">
      <c r="A34" s="60">
        <v>50</v>
      </c>
      <c r="B34" s="72">
        <f t="shared" si="2"/>
        <v>4.5021311006420524</v>
      </c>
      <c r="C34" s="11"/>
      <c r="D34" s="73">
        <f t="shared" si="3"/>
        <v>0.99999663622700041</v>
      </c>
    </row>
    <row r="35" spans="1:9" ht="15.75" thickBot="1" x14ac:dyDescent="0.3">
      <c r="A35" s="60"/>
      <c r="B35" s="41"/>
      <c r="C35" s="43"/>
      <c r="D35" s="78"/>
    </row>
    <row r="36" spans="1:9" x14ac:dyDescent="0.25">
      <c r="A36" s="17"/>
      <c r="E36" s="60"/>
      <c r="F36" s="60"/>
      <c r="H36" s="79"/>
      <c r="I36" s="79"/>
    </row>
    <row r="37" spans="1:9" x14ac:dyDescent="0.25">
      <c r="A37" s="17"/>
    </row>
    <row r="38" spans="1:9" x14ac:dyDescent="0.25">
      <c r="A38" s="17"/>
    </row>
    <row r="39" spans="1:9" x14ac:dyDescent="0.25">
      <c r="A39" s="17"/>
    </row>
    <row r="40" spans="1:9" x14ac:dyDescent="0.25">
      <c r="A40" s="17"/>
    </row>
    <row r="41" spans="1:9" x14ac:dyDescent="0.25">
      <c r="A41" s="17"/>
    </row>
    <row r="42" spans="1:9" x14ac:dyDescent="0.25">
      <c r="A42" s="17"/>
    </row>
    <row r="43" spans="1:9" x14ac:dyDescent="0.25">
      <c r="A43" s="17"/>
    </row>
    <row r="44" spans="1:9" x14ac:dyDescent="0.25">
      <c r="A44" s="17"/>
    </row>
    <row r="45" spans="1:9" x14ac:dyDescent="0.25">
      <c r="A45" s="17"/>
    </row>
    <row r="46" spans="1:9" x14ac:dyDescent="0.25">
      <c r="A46" s="17"/>
    </row>
    <row r="47" spans="1:9" x14ac:dyDescent="0.25">
      <c r="A47" s="17"/>
    </row>
    <row r="48" spans="1:9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</sheetData>
  <mergeCells count="3">
    <mergeCell ref="F6:I6"/>
    <mergeCell ref="K6:M6"/>
    <mergeCell ref="B20:D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70" zoomScaleNormal="70" workbookViewId="0">
      <selection activeCell="B1" sqref="B1:H1"/>
    </sheetView>
  </sheetViews>
  <sheetFormatPr defaultRowHeight="15" x14ac:dyDescent="0.25"/>
  <cols>
    <col min="2" max="2" width="25.85546875" customWidth="1"/>
    <col min="4" max="4" width="11.85546875" customWidth="1"/>
  </cols>
  <sheetData>
    <row r="1" spans="1:15" ht="15.75" x14ac:dyDescent="0.25">
      <c r="A1" s="15"/>
      <c r="B1" s="16" t="s">
        <v>59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6"/>
      <c r="B2" s="16" t="s">
        <v>60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.75" x14ac:dyDescent="0.25">
      <c r="A4" s="16"/>
      <c r="B4" s="16" t="s">
        <v>61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6.5" thickBo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A6" s="17"/>
      <c r="B6" s="17"/>
      <c r="C6" s="17"/>
      <c r="D6" s="18" t="s">
        <v>62</v>
      </c>
      <c r="E6" s="17"/>
      <c r="F6" s="111" t="s">
        <v>63</v>
      </c>
      <c r="G6" s="112"/>
      <c r="H6" s="112"/>
      <c r="I6" s="113"/>
      <c r="J6" s="17"/>
      <c r="K6" s="111" t="s">
        <v>64</v>
      </c>
      <c r="L6" s="112"/>
      <c r="M6" s="113"/>
      <c r="N6" s="17"/>
      <c r="O6" s="17"/>
    </row>
    <row r="7" spans="1:15" x14ac:dyDescent="0.25">
      <c r="A7" s="19"/>
      <c r="B7" s="20"/>
      <c r="C7" s="19"/>
      <c r="D7" s="21"/>
      <c r="E7" s="19"/>
      <c r="F7" s="22"/>
      <c r="G7" s="23"/>
      <c r="H7" s="23"/>
      <c r="I7" s="24"/>
      <c r="J7" s="19"/>
      <c r="K7" s="22"/>
      <c r="L7" s="23"/>
      <c r="M7" s="24"/>
      <c r="N7" s="19"/>
      <c r="O7" s="19"/>
    </row>
    <row r="8" spans="1:15" x14ac:dyDescent="0.25">
      <c r="A8" s="17"/>
      <c r="B8" s="17" t="s">
        <v>65</v>
      </c>
      <c r="C8" s="17"/>
      <c r="D8" s="25" t="s">
        <v>66</v>
      </c>
      <c r="E8" s="17"/>
      <c r="F8" s="26" t="s">
        <v>67</v>
      </c>
      <c r="G8" s="27" t="s">
        <v>68</v>
      </c>
      <c r="H8" s="27" t="s">
        <v>69</v>
      </c>
      <c r="I8" s="28" t="s">
        <v>70</v>
      </c>
      <c r="J8" s="19"/>
      <c r="K8" s="26" t="s">
        <v>71</v>
      </c>
      <c r="L8" s="29" t="s">
        <v>72</v>
      </c>
      <c r="M8" s="28" t="s">
        <v>73</v>
      </c>
      <c r="N8" s="17"/>
      <c r="O8" s="17"/>
    </row>
    <row r="9" spans="1:15" ht="15.75" thickBot="1" x14ac:dyDescent="0.3">
      <c r="A9" s="17"/>
      <c r="B9" s="17"/>
      <c r="C9" s="17"/>
      <c r="D9" s="30" t="s">
        <v>74</v>
      </c>
      <c r="E9" s="17"/>
      <c r="F9" s="31" t="s">
        <v>75</v>
      </c>
      <c r="G9" s="32" t="s">
        <v>76</v>
      </c>
      <c r="H9" s="32" t="s">
        <v>77</v>
      </c>
      <c r="I9" s="33" t="s">
        <v>78</v>
      </c>
      <c r="J9" s="19"/>
      <c r="K9" s="31"/>
      <c r="L9" s="32"/>
      <c r="M9" s="33"/>
      <c r="N9" s="17"/>
      <c r="O9" s="17"/>
    </row>
    <row r="10" spans="1:15" x14ac:dyDescent="0.25">
      <c r="A10" s="17" t="s">
        <v>79</v>
      </c>
      <c r="B10" t="s">
        <v>80</v>
      </c>
      <c r="C10" t="s">
        <v>36</v>
      </c>
      <c r="D10" s="34">
        <f>IF(Toolbox!O13=1,10,IF(Toolbox!O13=2,10,IF(Toolbox!O13=3,10,IF(Toolbox!O13=4,10,IF(Toolbox!O13=5,10,IF(Toolbox!O13=6,10,IF(Toolbox!O13=7,10,IF(Toolbox!O13=8,10,IF(Toolbox!O13=9,1,IF(Toolbox!O13=10,1,IF(Toolbox!O13=11,1,IF(Toolbox!O13=12,1,IF(Toolbox!O13=13,10,IF(Toolbox!O13=14,10,IF(Toolbox!O13=15,10,IF(Toolbox!O13=16,10,))))))))))))))))</f>
        <v>10</v>
      </c>
      <c r="F10" s="83">
        <f>(H10-D10)/D10</f>
        <v>0.5</v>
      </c>
      <c r="G10" s="36">
        <f>F10/0.841*D10</f>
        <v>5.9453032104637336</v>
      </c>
      <c r="H10" s="11">
        <f>IF(D10=10,15,1)</f>
        <v>15</v>
      </c>
      <c r="I10" s="80">
        <f>+$D$14-$D10+$H10</f>
        <v>31.996428211000001</v>
      </c>
      <c r="K10" s="35">
        <f>IF(H10=1,0,(I10-$D$14)/(H10-$D10))</f>
        <v>1</v>
      </c>
      <c r="L10" s="38">
        <f>K10*G10</f>
        <v>5.9453032104637336</v>
      </c>
      <c r="M10" s="39">
        <f>L10^2</f>
        <v>35.346630264350374</v>
      </c>
    </row>
    <row r="11" spans="1:15" x14ac:dyDescent="0.25">
      <c r="A11" s="17" t="s">
        <v>81</v>
      </c>
      <c r="B11" t="s">
        <v>95</v>
      </c>
      <c r="C11" t="s">
        <v>36</v>
      </c>
      <c r="D11" s="85">
        <f>H11-0.841*3.571429</f>
        <v>11.996428211</v>
      </c>
      <c r="F11" s="83">
        <f t="shared" ref="F11" si="0">(H11-D11)/D11</f>
        <v>0.25037217213086033</v>
      </c>
      <c r="G11" s="36">
        <f>F11/0.841*D11</f>
        <v>3.5714290000000006</v>
      </c>
      <c r="H11" s="11">
        <f>Toolbox!O17</f>
        <v>15</v>
      </c>
      <c r="I11" s="80">
        <f>+$D$14-$D11+$H11</f>
        <v>30</v>
      </c>
      <c r="K11" s="35">
        <f>(I11-$D$14)/(H11-$D11)</f>
        <v>0.99999999999999944</v>
      </c>
      <c r="L11" s="38">
        <f>K11*G11</f>
        <v>3.5714289999999989</v>
      </c>
      <c r="M11" s="39">
        <f>L11^2</f>
        <v>12.755105102040991</v>
      </c>
    </row>
    <row r="12" spans="1:15" x14ac:dyDescent="0.25">
      <c r="A12" s="17" t="s">
        <v>82</v>
      </c>
      <c r="B12" t="s">
        <v>83</v>
      </c>
      <c r="C12" t="s">
        <v>36</v>
      </c>
      <c r="D12" s="34">
        <v>5</v>
      </c>
      <c r="F12" s="83">
        <f t="shared" ref="F12" si="1">(H12-D12)/D12</f>
        <v>0.4</v>
      </c>
      <c r="G12" s="36">
        <f>F12/0.841*D12</f>
        <v>2.378121284185494</v>
      </c>
      <c r="H12" s="11">
        <v>7</v>
      </c>
      <c r="I12" s="80">
        <f>+$D$14-$D12+$H12</f>
        <v>28.996428211000001</v>
      </c>
      <c r="K12" s="35">
        <f>(I12-$D$14)/(H12-$D12)</f>
        <v>1</v>
      </c>
      <c r="L12" s="38">
        <f>K12*G12</f>
        <v>2.378121284185494</v>
      </c>
      <c r="M12" s="39">
        <f>L12^2</f>
        <v>5.6554608422960628</v>
      </c>
    </row>
    <row r="13" spans="1:15" ht="15.75" thickBot="1" x14ac:dyDescent="0.3">
      <c r="A13" s="17"/>
      <c r="D13" s="40"/>
      <c r="F13" s="84"/>
      <c r="G13" s="42"/>
      <c r="H13" s="43"/>
      <c r="I13" s="81"/>
      <c r="K13" s="41"/>
      <c r="L13" s="45"/>
      <c r="M13" s="46"/>
    </row>
    <row r="14" spans="1:15" x14ac:dyDescent="0.25">
      <c r="A14" s="17" t="s">
        <v>70</v>
      </c>
      <c r="B14" t="s">
        <v>111</v>
      </c>
      <c r="C14" t="s">
        <v>36</v>
      </c>
      <c r="D14" s="86">
        <f>SUM(D10:D13)</f>
        <v>26.996428211000001</v>
      </c>
      <c r="F14" s="48"/>
      <c r="G14" s="49"/>
      <c r="H14" s="49"/>
      <c r="I14" s="82">
        <f>D14</f>
        <v>26.996428211000001</v>
      </c>
      <c r="K14" s="48"/>
      <c r="L14" s="51" t="s">
        <v>84</v>
      </c>
      <c r="M14" s="52">
        <f>SUM(M10:M12)</f>
        <v>53.757196208687432</v>
      </c>
    </row>
    <row r="15" spans="1:15" ht="15.75" thickBot="1" x14ac:dyDescent="0.3">
      <c r="A15" s="17"/>
      <c r="D15" s="40"/>
      <c r="F15" s="41"/>
      <c r="G15" s="53"/>
      <c r="H15" s="53"/>
      <c r="I15" s="54"/>
      <c r="K15" s="41"/>
      <c r="L15" s="55" t="s">
        <v>85</v>
      </c>
      <c r="M15" s="56">
        <f>SQRT(M14)</f>
        <v>7.3319299102410564</v>
      </c>
    </row>
    <row r="16" spans="1:15" ht="15.75" thickBot="1" x14ac:dyDescent="0.3">
      <c r="A16" s="17"/>
      <c r="L16" s="57"/>
    </row>
    <row r="17" spans="1:15" ht="15.75" thickBot="1" x14ac:dyDescent="0.3">
      <c r="A17" s="17" t="s">
        <v>86</v>
      </c>
      <c r="B17" t="s">
        <v>93</v>
      </c>
      <c r="C17" t="s">
        <v>88</v>
      </c>
      <c r="D17" s="58">
        <f>$D$14+$M$15*0.841</f>
        <v>33.162581265512728</v>
      </c>
      <c r="L17" s="57"/>
    </row>
    <row r="18" spans="1:15" x14ac:dyDescent="0.25">
      <c r="A18" s="17"/>
      <c r="L18" s="57"/>
    </row>
    <row r="19" spans="1:15" ht="15.75" thickBot="1" x14ac:dyDescent="0.3">
      <c r="A19" s="17"/>
      <c r="L19" s="57"/>
      <c r="O19" t="s">
        <v>94</v>
      </c>
    </row>
    <row r="20" spans="1:15" x14ac:dyDescent="0.25">
      <c r="A20" s="59"/>
      <c r="B20" s="111" t="s">
        <v>89</v>
      </c>
      <c r="C20" s="112"/>
      <c r="D20" s="113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60"/>
      <c r="B21" s="61"/>
      <c r="C21" s="62"/>
      <c r="D21" s="63"/>
    </row>
    <row r="22" spans="1:15" ht="15.75" thickBot="1" x14ac:dyDescent="0.3">
      <c r="A22" s="64" t="s">
        <v>78</v>
      </c>
      <c r="B22" s="65" t="s">
        <v>90</v>
      </c>
      <c r="C22" s="32"/>
      <c r="D22" s="66" t="s">
        <v>91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25">
      <c r="A23" s="67"/>
      <c r="B23" s="68"/>
      <c r="C23" s="69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1:15" x14ac:dyDescent="0.25">
      <c r="A24" s="60">
        <v>0</v>
      </c>
      <c r="B24" s="72">
        <f t="shared" ref="B24:B34" si="2">(A24-$D$14)/$M$15</f>
        <v>-3.6820357725040531</v>
      </c>
      <c r="C24" s="11"/>
      <c r="D24" s="73">
        <f t="shared" ref="D24:D34" si="3">NORMDIST(B24,0,1,1)</f>
        <v>1.1568946715661374E-4</v>
      </c>
    </row>
    <row r="25" spans="1:15" x14ac:dyDescent="0.25">
      <c r="A25" s="60">
        <v>5</v>
      </c>
      <c r="B25" s="72">
        <f t="shared" si="2"/>
        <v>-3.0000870821577195</v>
      </c>
      <c r="C25" s="11"/>
      <c r="D25" s="73">
        <f t="shared" si="3"/>
        <v>1.3495121471158637E-3</v>
      </c>
    </row>
    <row r="26" spans="1:15" x14ac:dyDescent="0.25">
      <c r="A26" s="60">
        <v>10</v>
      </c>
      <c r="B26" s="72">
        <f t="shared" si="2"/>
        <v>-2.3181383918113858</v>
      </c>
      <c r="C26" s="11"/>
      <c r="D26" s="73">
        <f t="shared" si="3"/>
        <v>1.0220900495341688E-2</v>
      </c>
    </row>
    <row r="27" spans="1:15" x14ac:dyDescent="0.25">
      <c r="A27" s="60">
        <v>15</v>
      </c>
      <c r="B27" s="72">
        <f t="shared" si="2"/>
        <v>-1.6361897014650522</v>
      </c>
      <c r="C27" s="11"/>
      <c r="D27" s="73">
        <f t="shared" si="3"/>
        <v>5.0899945566206799E-2</v>
      </c>
    </row>
    <row r="28" spans="1:15" x14ac:dyDescent="0.25">
      <c r="A28" s="60">
        <v>20</v>
      </c>
      <c r="B28" s="72">
        <f t="shared" si="2"/>
        <v>-0.95424101111871862</v>
      </c>
      <c r="C28" s="11"/>
      <c r="D28" s="73">
        <f t="shared" si="3"/>
        <v>0.16998082986987884</v>
      </c>
    </row>
    <row r="29" spans="1:15" x14ac:dyDescent="0.25">
      <c r="A29" s="74">
        <v>25</v>
      </c>
      <c r="B29" s="72">
        <f t="shared" si="2"/>
        <v>-0.27229232077238497</v>
      </c>
      <c r="C29" s="11"/>
      <c r="D29" s="73">
        <f t="shared" si="3"/>
        <v>0.39269863018422474</v>
      </c>
    </row>
    <row r="30" spans="1:15" x14ac:dyDescent="0.25">
      <c r="A30" s="74">
        <v>30</v>
      </c>
      <c r="B30" s="75">
        <f t="shared" si="2"/>
        <v>0.40965636957394869</v>
      </c>
      <c r="C30" s="76"/>
      <c r="D30" s="77">
        <f t="shared" si="3"/>
        <v>0.65897098001220578</v>
      </c>
    </row>
    <row r="31" spans="1:15" x14ac:dyDescent="0.25">
      <c r="A31" s="60">
        <v>35</v>
      </c>
      <c r="B31" s="72">
        <f t="shared" si="2"/>
        <v>1.0916050599202822</v>
      </c>
      <c r="C31" s="11"/>
      <c r="D31" s="73">
        <f t="shared" si="3"/>
        <v>0.86249663443410451</v>
      </c>
    </row>
    <row r="32" spans="1:15" x14ac:dyDescent="0.25">
      <c r="A32" s="60">
        <v>40</v>
      </c>
      <c r="B32" s="72">
        <f t="shared" si="2"/>
        <v>1.7735537502666159</v>
      </c>
      <c r="C32" s="11"/>
      <c r="D32" s="73">
        <f t="shared" si="3"/>
        <v>0.96193150319761289</v>
      </c>
    </row>
    <row r="33" spans="1:9" x14ac:dyDescent="0.25">
      <c r="A33" s="60">
        <v>45</v>
      </c>
      <c r="B33" s="72">
        <f t="shared" si="2"/>
        <v>2.4555024406129498</v>
      </c>
      <c r="C33" s="11"/>
      <c r="D33" s="73">
        <f t="shared" si="3"/>
        <v>0.99296561012851825</v>
      </c>
    </row>
    <row r="34" spans="1:9" x14ac:dyDescent="0.25">
      <c r="A34" s="60">
        <v>50</v>
      </c>
      <c r="B34" s="72">
        <f t="shared" si="2"/>
        <v>3.1374511309592834</v>
      </c>
      <c r="C34" s="11"/>
      <c r="D34" s="73">
        <f t="shared" si="3"/>
        <v>0.99914788159281931</v>
      </c>
    </row>
    <row r="35" spans="1:9" ht="15.75" thickBot="1" x14ac:dyDescent="0.3">
      <c r="A35" s="60"/>
      <c r="B35" s="41"/>
      <c r="C35" s="43"/>
      <c r="D35" s="78"/>
    </row>
    <row r="36" spans="1:9" x14ac:dyDescent="0.25">
      <c r="A36" s="17"/>
      <c r="E36" s="60"/>
      <c r="F36" s="60"/>
      <c r="H36" s="79"/>
      <c r="I36" s="79"/>
    </row>
    <row r="37" spans="1:9" x14ac:dyDescent="0.25">
      <c r="A37" s="17"/>
    </row>
    <row r="38" spans="1:9" x14ac:dyDescent="0.25">
      <c r="A38" s="17"/>
    </row>
    <row r="39" spans="1:9" x14ac:dyDescent="0.25">
      <c r="A39" s="17"/>
    </row>
    <row r="40" spans="1:9" x14ac:dyDescent="0.25">
      <c r="A40" s="17"/>
    </row>
    <row r="41" spans="1:9" x14ac:dyDescent="0.25">
      <c r="A41" s="17"/>
    </row>
    <row r="42" spans="1:9" x14ac:dyDescent="0.25">
      <c r="A42" s="17"/>
    </row>
    <row r="43" spans="1:9" x14ac:dyDescent="0.25">
      <c r="A43" s="17"/>
    </row>
    <row r="44" spans="1:9" x14ac:dyDescent="0.25">
      <c r="A44" s="17"/>
    </row>
    <row r="45" spans="1:9" x14ac:dyDescent="0.25">
      <c r="A45" s="17"/>
    </row>
    <row r="46" spans="1:9" x14ac:dyDescent="0.25">
      <c r="A46" s="17"/>
    </row>
    <row r="47" spans="1:9" x14ac:dyDescent="0.25">
      <c r="A47" s="17"/>
    </row>
    <row r="48" spans="1:9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</sheetData>
  <mergeCells count="3">
    <mergeCell ref="F6:I6"/>
    <mergeCell ref="K6:M6"/>
    <mergeCell ref="B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Voorblad</vt:lpstr>
      <vt:lpstr>Toolbox</vt:lpstr>
      <vt:lpstr>Flashovermatrix</vt:lpstr>
      <vt:lpstr>Uitgangspunten</vt:lpstr>
      <vt:lpstr>Norm</vt:lpstr>
      <vt:lpstr>Werkelijk</vt:lpstr>
      <vt:lpstr>Flashovermatrix!Afdrukbereik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van Amersfoort</dc:creator>
  <cp:lastModifiedBy>Ruud van Herpen</cp:lastModifiedBy>
  <cp:lastPrinted>2015-05-18T07:28:55Z</cp:lastPrinted>
  <dcterms:created xsi:type="dcterms:W3CDTF">2015-02-12T07:41:31Z</dcterms:created>
  <dcterms:modified xsi:type="dcterms:W3CDTF">2015-11-03T16:34:49Z</dcterms:modified>
</cp:coreProperties>
</file>